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74" firstSheet="1" activeTab="1"/>
  </bookViews>
  <sheets>
    <sheet name="Instructions" sheetId="1" state="hidden" r:id="rId1"/>
    <sheet name="DATA" sheetId="2" r:id="rId2"/>
    <sheet name="Annexure -I" sheetId="3" r:id="rId3"/>
    <sheet name="Annexure -II" sheetId="4" r:id="rId4"/>
    <sheet name="Form 16 Page1" sheetId="5" state="hidden" r:id="rId5"/>
    <sheet name="Form 16 Page-1" sheetId="6" r:id="rId6"/>
    <sheet name="Form 16 Page2" sheetId="7" r:id="rId7"/>
    <sheet name="Rent Reciept " sheetId="8" r:id="rId8"/>
  </sheets>
  <definedNames>
    <definedName name="_xlnm.Print_Area" localSheetId="3">'Annexure -II'!$B$2:$N$65536</definedName>
    <definedName name="_xlnm.Print_Area" localSheetId="5">'Form 16 Page-1'!$B$2:$N$69</definedName>
    <definedName name="_xlnm.Print_Area" localSheetId="4">'Form 16 Page1'!$B$1:$N$65</definedName>
    <definedName name="_xlnm.Print_Area" localSheetId="6">'Form 16 Page2'!$B$2:$M$62</definedName>
    <definedName name="_xlnm.Print_Area" localSheetId="7">'Rent Reciept '!$B$10:$J$35</definedName>
    <definedName name="Z_74B9DB0D_A27C_483C_9482_296E1DCC546B__wvu_Cols" localSheetId="1">'DATA'!$R:$IV</definedName>
    <definedName name="Z_74B9DB0D_A27C_483C_9482_296E1DCC546B__wvu_Rows" localSheetId="1">('DATA'!$184:$65536,'DATA'!$40:$183)</definedName>
    <definedName name="Z_74B9DB0D_A27C_483C_9482_296E1DCC546B__wvu_Cols" localSheetId="2">'Annexure -I'!$W:$IV</definedName>
    <definedName name="Z_74B9DB0D_A27C_483C_9482_296E1DCC546B__wvu_Rows" localSheetId="2">('Annexure -I'!$474:$65536,'Annexure -I'!$29:$472)</definedName>
    <definedName name="Z_74B9DB0D_A27C_483C_9482_296E1DCC546B__wvu_Cols" localSheetId="3">'Annexure -II'!$O:$IV</definedName>
    <definedName name="Z_74B9DB0D_A27C_483C_9482_296E1DCC546B__wvu_PrintArea" localSheetId="3">'Annexure -II'!$B$2:$N$65536</definedName>
    <definedName name="Z_74B9DB0D_A27C_483C_9482_296E1DCC546B__wvu_Rows" localSheetId="3">('Annexure -II'!$94:$65536,'Annexure -II'!$74:$93)</definedName>
    <definedName name="Z_74B9DB0D_A27C_483C_9482_296E1DCC546B__wvu_Cols" localSheetId="4">'Form 16 Page1'!$P:$IV</definedName>
    <definedName name="Z_74B9DB0D_A27C_483C_9482_296E1DCC546B__wvu_PrintArea" localSheetId="4">'Form 16 Page1'!$B$1:$N$65</definedName>
    <definedName name="Z_74B9DB0D_A27C_483C_9482_296E1DCC546B__wvu_Rows" localSheetId="4">('Form 16 Page1'!$112:$65536,'Form 16 Page1'!$66:$111)</definedName>
    <definedName name="Z_74B9DB0D_A27C_483C_9482_296E1DCC546B__wvu_Cols" localSheetId="5">'Form 16 Page-1'!$P:$IV</definedName>
    <definedName name="Z_74B9DB0D_A27C_483C_9482_296E1DCC546B__wvu_PrintArea" localSheetId="5">'Form 16 Page-1'!$B$2:$N$69</definedName>
    <definedName name="Z_74B9DB0D_A27C_483C_9482_296E1DCC546B__wvu_Rows" localSheetId="5">('Form 16 Page-1'!$117:$65536,'Form 16 Page-1'!$70:$115)</definedName>
    <definedName name="Z_74B9DB0D_A27C_483C_9482_296E1DCC546B__wvu_Cols" localSheetId="6">'Form 16 Page2'!$O:$IV</definedName>
    <definedName name="Z_74B9DB0D_A27C_483C_9482_296E1DCC546B__wvu_PrintArea" localSheetId="6">'Form 16 Page2'!$B$2:$M$62</definedName>
    <definedName name="Z_74B9DB0D_A27C_483C_9482_296E1DCC546B__wvu_Rows" localSheetId="6">('Form 16 Page2'!$239:$65536,'Form 16 Page2'!$63:$238)</definedName>
    <definedName name="Z_74B9DB0D_A27C_483C_9482_296E1DCC546B__wvu_Cols" localSheetId="7">'Rent Reciept '!$L:$IV</definedName>
    <definedName name="Z_74B9DB0D_A27C_483C_9482_296E1DCC546B__wvu_PrintArea" localSheetId="7">'Rent Reciept '!$B$10:$J$35</definedName>
    <definedName name="Z_74B9DB0D_A27C_483C_9482_296E1DCC546B__wvu_Rows" localSheetId="7">'Rent Reciept '!$36:$65536</definedName>
  </definedNames>
  <calcPr fullCalcOnLoad="1"/>
</workbook>
</file>

<file path=xl/sharedStrings.xml><?xml version="1.0" encoding="utf-8"?>
<sst xmlns="http://schemas.openxmlformats.org/spreadsheetml/2006/main" count="1180" uniqueCount="688">
  <si>
    <t>Section</t>
  </si>
  <si>
    <t> Nature of Deduction</t>
  </si>
  <si>
    <t>Remarks</t>
  </si>
  <si>
    <t>80CCC</t>
  </si>
  <si>
    <t>Payment of premia for annuity The premium must plan of LIC or any other insurer, be deposited to keep Deduction is available upto a in force a contract for maximum of Rs. 10,000</t>
  </si>
  <si>
    <t>The premium must be deposited to keep in force a contract for an annuity plan of the LIC or any other insurer for receiving pension from the fund</t>
  </si>
  <si>
    <t>SAVINGS</t>
  </si>
  <si>
    <t>Limit</t>
  </si>
  <si>
    <t>80D</t>
  </si>
  <si>
    <t>Payment of medical insurance premia. Deduction is available upto Rs. 10,000</t>
  </si>
  <si>
    <t>The premium is to be paid by cheque and the insurance scheme should be framed by the General Insurance Corporation of India &amp; approved by the Central Govt. or any other insurer and approved by the regulatory authority &amp; Development authority.The premium should be paid in respect of health insurance of the assessee or his family members</t>
  </si>
  <si>
    <t>Tuition Fee- Two Children</t>
  </si>
  <si>
    <t>80C</t>
  </si>
  <si>
    <t>80DD </t>
  </si>
  <si>
    <t>Deduction of Rs. 40,000 in respect of a) expenditure incurred on medical treatment, (including nursing), training and rehabi­litation of a handicapped dependent relative.</t>
  </si>
  <si>
    <t>The handicapped dependent should be a dependent relative suffering a perma­nent disability (including blindness) or mentally retarded, as certified by a specified physician or psychiatrist.</t>
  </si>
  <si>
    <t>National Savings Certificates (NSC)</t>
  </si>
  <si>
    <t>b) Payment or deposit to specified scheme for maintenance of dependent handicapped relative</t>
  </si>
  <si>
    <t>Note : The new section 80DD replace the earlier sections of 80DD and 80DDA which are now clubbed together under the new section.</t>
  </si>
  <si>
    <t>Repayment of Home Loan Principle</t>
  </si>
  <si>
    <t>80DDB</t>
  </si>
  <si>
    <t>Deduction of Rs. 40,000 in respect of medical expenditure incurred</t>
  </si>
  <si>
    <t>Expenditure must be actually incurred by resident assessee on himself or dependant relative for medical treatment of specified disease or ailment. The diseases have been specified in Rule HDD. A certificate in form 10 i is to be furnished by the assessee from any registered doctor</t>
  </si>
  <si>
    <t>LIC Insurance Premium- Annual</t>
  </si>
  <si>
    <t>80E</t>
  </si>
  <si>
    <t>Deduction in respect of repayment of loan taken upto Rs. 40,000 per year.</t>
  </si>
  <si>
    <t>This provision has been introduced to provide relief to students taking loans for higher studies. The repayment of the principal amount of loan and interest thereon will be allowed as deduction upto Rs. 3.2 lakhs over a period of 8 years.</t>
  </si>
  <si>
    <t>Unit linked Insurance Plan</t>
  </si>
  <si>
    <t>80G</t>
  </si>
  <si>
    <t>Donations to certain funds,charitable institutions etc.</t>
  </si>
  <si>
    <t>The various donations specified in Sec.80G are eligible for deduction upto either 100% or 50% with or without restriction as provided in Sec 80G</t>
  </si>
  <si>
    <t>Public Provident Fund</t>
  </si>
  <si>
    <t>80GG</t>
  </si>
  <si>
    <t>Deduction available is the least of</t>
  </si>
  <si>
    <r>
      <t>1) Assessee or his total spouse or minor child should not own residential accommodation   at the place of employment.</t>
    </r>
    <r>
      <rPr>
        <sz val="9"/>
        <color indexed="8"/>
        <rFont val="Verdana"/>
        <family val="2"/>
      </rPr>
      <t xml:space="preserve"> </t>
    </r>
  </si>
  <si>
    <t>ULIP</t>
  </si>
  <si>
    <t>(i) Rent paid less 10% of total income</t>
  </si>
  <si>
    <t>PLI</t>
  </si>
  <si>
    <t>(ii) Rs. 2,000 per month</t>
  </si>
  <si>
    <t>2)  He should not be in  receipt  of house rent allowance.</t>
  </si>
  <si>
    <t>Equity linked Savings Schemes (ELSS)</t>
  </si>
  <si>
    <t>(iii) 25% of total income</t>
  </si>
  <si>
    <t>3)   He   should   not have a self occupied residential premises in any other place</t>
  </si>
  <si>
    <t>5-Years fixed deposits with bank/post office</t>
  </si>
  <si>
    <t>80L</t>
  </si>
  <si>
    <t>Interest/Dividend/Income from :</t>
  </si>
  <si>
    <t>Rs. 9000 plus an addition deduction of Rs. 3000 allowed in respect of interest on any Central/State Govt. Securities</t>
  </si>
  <si>
    <t>Infrasture Bonds ( LIC, IDBI, IFCI,etc)</t>
  </si>
  <si>
    <t>80CCF</t>
  </si>
  <si>
    <t>a) any Govt. Security (Central or State)</t>
  </si>
  <si>
    <t>LIC / UTI  etc. Pension funds</t>
  </si>
  <si>
    <t xml:space="preserve">b) NSC, VI, VII &amp; VIII issues </t>
  </si>
  <si>
    <t>c)Notified  debentures   of public sector undertakings,cooperative societies/Land mortgage bank or land development bank.</t>
  </si>
  <si>
    <t>** Annual HRA Recied less than 36,000 No need to Submitt house reciept.                                                             ** Yearly House Rent Paid more than 1,00,000/- Submitt House Reciept</t>
  </si>
  <si>
    <t>d)  Notified   National   Deposit Scheme</t>
  </si>
  <si>
    <t>e)  Any other deposit Scheme framed by Central Govt. and notified.</t>
  </si>
  <si>
    <t>f)Deposit   under   Post   Office Monthly Income Account   rules,1987</t>
  </si>
  <si>
    <t>g)Deposits with banking companies, banking co-op, societie, land mortgage or land development bank.</t>
  </si>
  <si>
    <t>h) deposits with banks established under any law made by Parliament.</t>
  </si>
  <si>
    <t>i)     Deposits   with     financial corporations approved by Central Government </t>
  </si>
  <si>
    <t>j)   Deposits   with   any   authority constituted in India under any law for   planning,development   or  improvement of cities, towns and villages etc.</t>
  </si>
  <si>
    <t>k) Deposits with co-op. Societies.</t>
  </si>
  <si>
    <t>1)   Deposits,   with   any   public companies   providing   long   term finance for construction or purchase of houses.</t>
  </si>
  <si>
    <t>m) Income from U.T.I.</t>
  </si>
  <si>
    <t>n) Income from Units of Mutual Fund specified under clause (23D) of Sec. 10.</t>
  </si>
  <si>
    <t>80U</t>
  </si>
  <si>
    <t>Deduction of Rs. 40,000/- to an individual who suffers from a physical disability (including blindness) or mental retardation</t>
  </si>
  <si>
    <t>Certificate should be obtained from a Govt. Doctor. The relevant rule is Rule 11D.</t>
  </si>
  <si>
    <t>Infrastructure bonds under Section 80CCF</t>
  </si>
  <si>
    <r>
      <t>CBDT has notified New infrastructure Bonds</t>
    </r>
    <r>
      <rPr>
        <sz val="11"/>
        <color indexed="8"/>
        <rFont val="Calibri"/>
        <family val="2"/>
      </rPr>
      <t xml:space="preserve"> </t>
    </r>
    <r>
      <rPr>
        <u val="single"/>
        <sz val="11"/>
        <color indexed="8"/>
        <rFont val="Calibri"/>
        <family val="2"/>
      </rPr>
      <t>(Notification No. 48/2010[F.No.149/84/2010-SO(TPL)], dated 9-7-2010</t>
    </r>
    <r>
      <rPr>
        <sz val="11"/>
        <color indexed="8"/>
        <rFont val="Calibri"/>
        <family val="2"/>
      </rPr>
      <t>) u/s 80CCF. An Individual or HUF can invest in these new infrastructure Bonds upto Rs.20,000/- in a Financial years.</t>
    </r>
  </si>
  <si>
    <t>Main features of this new section and new notification is given below.</t>
  </si>
  <si>
    <t>1. New section can be availed by individual or HUF only.</t>
  </si>
  <si>
    <t>2. Rs.20,000/- can be invested in a Financial year to avail deduction under section 80CCF</t>
  </si>
  <si>
    <t>3. Rs.20000/- Limit is in addition to Rs.1,00,000/- Limit of section 80C,80CCC &amp; 80CCD</t>
  </si>
  <si>
    <t>4. Tenure of the Bonds will be 10 Years.</t>
  </si>
  <si>
    <t>5. However Lock in period is 5 years, after 5 years investor can withdraw money from the bonds</t>
  </si>
  <si>
    <t>6. After lock in period, Investor can take loan against these Bonds</t>
  </si>
  <si>
    <t>7. Issuer of the Bonds is LIC, IFCI, IDFC and other NBFC classified as infrastructure company.</t>
  </si>
  <si>
    <t>8. Permanent account Number is must to apply these bonds.</t>
  </si>
  <si>
    <t>9. Yield of the bond – The yield of the bond shall not exceed the yield on government securities of corresponding residual maturity, as reported by the Fixed Income Money Market and Derivatives Association of India (FIMMDA), as on the last working day of the month immediately preceding the month of the issue of the bond.</t>
  </si>
  <si>
    <t>Section 80CCF of the Income-tax Act, 1961 – Deduction – In respect of subscription to long-term infrastructure bonds – Notified long-term infrastructure bond</t>
  </si>
  <si>
    <t>In exercise of the powers conferred by section 80CCF of the Income-tax Act, 1961 (43 of 1961), the Central Government hereby specifies bonds, subject to the following conditions, as long-term infrastructure bonds for the purposes of the said section namely :-</t>
  </si>
  <si>
    <t>(a) Name of the bond – The name of the bond shall be “Long-term Infrastructure Bond”.</t>
  </si>
  <si>
    <t>(b) Issuer of the bond – The bond shall be issued by :-</t>
  </si>
  <si>
    <t>(i) Industrial Finance Corporation of India;</t>
  </si>
  <si>
    <t>(ii) Life Insurance Corporation of India;</t>
  </si>
  <si>
    <t>(iii) Infrastructure Development Finance Company Limited;</t>
  </si>
  <si>
    <t>(iv) a Non-Banking Finance Company classified as an Infrastructure Finance Company by the Reserve Bank of India;</t>
  </si>
  <si>
    <t xml:space="preserve">(c) Limit on issuance – </t>
  </si>
  <si>
    <t>(i) The bond will be issued during financial year 2010-11;</t>
  </si>
  <si>
    <t>(ii) the volume of issuance during the financial year shall be restricted to twenty-five per cent of the incremental infrastructure investments made by the issuer during the financial year 2009-10;</t>
  </si>
  <si>
    <t>(iii) ‘Investment’ for the purposes of this limit include loans, bonds, other forms of debt, quasi-equity, preference equity and equity.</t>
  </si>
  <si>
    <t>(d) Tenure of the bond. – (i) A minimum period of ten years:</t>
  </si>
  <si>
    <t>(ii) the minimum lock-in period for an investor shall be five years:</t>
  </si>
  <si>
    <t>(iii) after the lock in, the investor may exit either through the secondary market or through a buyback facility, specified by the issuer in the issue document at the time of issue;</t>
  </si>
  <si>
    <t>(iv) the bond shall also be allowed as pledge or lien or hypothecation for obtaining loans from Scheduled Commercial Banks, after the said lock-in period;</t>
  </si>
  <si>
    <t>(e) Permanent Account Number (PAN) to be furnished – It shall be mandatory for the subscribers to furnish there PAN to the issuer;</t>
  </si>
  <si>
    <t>(f) Yield of the bond – The yield of the bond shall not exceed the yield on government securities of corresponding residual maturity, as reported by the Fixed Income Money Market and Derivatives Association of India (FIMMDA), as on the last working day of the month immediately preceding the month of the issue of the bond;</t>
  </si>
  <si>
    <t>(g) End-use of proceeds and reporting or monitoring mechanism – (i) The proceeds shall be utilizes towards ‘ infrastructure lending’ as defined by the Reserve Bank of India in the Guidelines : issued by it.</t>
  </si>
  <si>
    <t>(ii) the end-use shall be duly reported in the Annual Reports and other reports submitted by the issuer to the Regulatory Authority concerned, and specifically certified by the Statutory Auditor of the issuer;</t>
  </si>
  <si>
    <t>(iii) the issuer shall also file these along with term sheets to the Infrastructure Division, Department of Economic Affairs, Ministry of Finance within three months from the end of financial year.</t>
  </si>
  <si>
    <t>www.putta.in  ** Income Tax 2015-2016 (AY 2016-17)  ** www.prtuts.org</t>
  </si>
  <si>
    <t>Jan,10</t>
  </si>
  <si>
    <t>Name of the Employee</t>
  </si>
  <si>
    <t>Putta Srinivas Reddy</t>
  </si>
  <si>
    <t xml:space="preserve">Designation : </t>
  </si>
  <si>
    <t>School Assistant</t>
  </si>
  <si>
    <t>SA</t>
  </si>
  <si>
    <t>Feb,10</t>
  </si>
  <si>
    <t>March,13</t>
  </si>
  <si>
    <t>Children Tution Fee Paid</t>
  </si>
  <si>
    <t>Place of Working :</t>
  </si>
  <si>
    <t>ZPHS(B) Bibipet</t>
  </si>
  <si>
    <t>Mandal, Dist</t>
  </si>
  <si>
    <t>Domakonda, Nizamabad</t>
  </si>
  <si>
    <t>Langauge Pandit</t>
  </si>
  <si>
    <t>Inc</t>
  </si>
  <si>
    <t>8yrs</t>
  </si>
  <si>
    <t>8yrs/prm</t>
  </si>
  <si>
    <t>prom</t>
  </si>
  <si>
    <t>April,13</t>
  </si>
  <si>
    <t>Repayement of Home Loan Principal</t>
  </si>
  <si>
    <t>Basic Pay as on January,15</t>
  </si>
  <si>
    <t>Basic Pay as on February,15</t>
  </si>
  <si>
    <t>TS Incrmnt</t>
  </si>
  <si>
    <t>FPI</t>
  </si>
  <si>
    <t xml:space="preserve">Add. </t>
  </si>
  <si>
    <t>Others</t>
  </si>
  <si>
    <t>SGT</t>
  </si>
  <si>
    <t>Increment</t>
  </si>
  <si>
    <t>May,13</t>
  </si>
  <si>
    <t>National Savings Certificate</t>
  </si>
  <si>
    <t>Increment Month</t>
  </si>
  <si>
    <t>AAS(6/12/18/24)w.e.f</t>
  </si>
  <si>
    <t>HM/ Higher Class Allowance</t>
  </si>
  <si>
    <t>PHC (CA)</t>
  </si>
  <si>
    <t>PET</t>
  </si>
  <si>
    <t>8Years</t>
  </si>
  <si>
    <t>June,13</t>
  </si>
  <si>
    <t>LIC Annual Premiums Paid by Hand</t>
  </si>
  <si>
    <t xml:space="preserve">Taken Promotion </t>
  </si>
  <si>
    <t>If Yes Promotion Taken on</t>
  </si>
  <si>
    <t>Promotion Fixation Option is given to</t>
  </si>
  <si>
    <t>GHM</t>
  </si>
  <si>
    <t>Promotion</t>
  </si>
  <si>
    <t>July,13</t>
  </si>
  <si>
    <t>PLI Annual Premuim</t>
  </si>
  <si>
    <t>HRA Received</t>
  </si>
  <si>
    <t>If any Change Mention Month</t>
  </si>
  <si>
    <t>Changed to</t>
  </si>
  <si>
    <t>E.L Surrender</t>
  </si>
  <si>
    <t>LFLHM</t>
  </si>
  <si>
    <t>Aug,13</t>
  </si>
  <si>
    <t>Unit Linked Insurance Plan</t>
  </si>
  <si>
    <t>CCA Received</t>
  </si>
  <si>
    <t>Any Change mention Month</t>
  </si>
  <si>
    <t>Changed CCA</t>
  </si>
  <si>
    <t>Children Education Fee Concession</t>
  </si>
  <si>
    <t>Jr. Asst</t>
  </si>
  <si>
    <t>Sept,13</t>
  </si>
  <si>
    <t xml:space="preserve">5 Years Fixed Deposits </t>
  </si>
  <si>
    <t>Are you Claimed DA Arrears of July,15 to Jan,16 @15.196%</t>
  </si>
  <si>
    <t>Record Asst.</t>
  </si>
  <si>
    <t>Oct,13</t>
  </si>
  <si>
    <t>Other Arrears Creditted If any</t>
  </si>
  <si>
    <t>Pay</t>
  </si>
  <si>
    <t>Creditted into P.F if any</t>
  </si>
  <si>
    <t>Additional Income Details</t>
  </si>
  <si>
    <t>PRTU</t>
  </si>
  <si>
    <t>Nov,13</t>
  </si>
  <si>
    <t>Equity Linked Savings Scheme</t>
  </si>
  <si>
    <t>DA</t>
  </si>
  <si>
    <t>Income From other sources</t>
  </si>
  <si>
    <t>Dec,13</t>
  </si>
  <si>
    <t>HRA</t>
  </si>
  <si>
    <t>Income From Capital Gains</t>
  </si>
  <si>
    <t>Jan,14</t>
  </si>
  <si>
    <t>Income from House Property U/s 24(vi)</t>
  </si>
  <si>
    <t>Feb,14</t>
  </si>
  <si>
    <r>
      <t>** Please Verify with experts before submission, if found any mistakes please inform me.</t>
    </r>
    <r>
      <rPr>
        <b/>
        <sz val="11"/>
        <color indexed="9"/>
        <rFont val="Verdana"/>
        <family val="2"/>
      </rPr>
      <t xml:space="preserve">                                                                                                                                ** Annual HRA (not rent) Recived less than 36,000/- No need to Submitt House rent Reciept (DDO should satisfy).                                                                                                               ** Yearly House Rent Paid more than 1,00,000/- Submitt House rent Reciept with House owner PAN.</t>
    </r>
  </si>
  <si>
    <t>March,14</t>
  </si>
  <si>
    <t>PF Type:</t>
  </si>
  <si>
    <t>A/C No.</t>
  </si>
  <si>
    <t>6518/Welfare</t>
  </si>
  <si>
    <t>Employee PAN No.</t>
  </si>
  <si>
    <t>Office Subordinate</t>
  </si>
  <si>
    <t>PF Subscription</t>
  </si>
  <si>
    <t>If any Change Mention Mont</t>
  </si>
  <si>
    <t>Changed Subscription</t>
  </si>
  <si>
    <t>APGLIF Polocy No.:</t>
  </si>
  <si>
    <t>Subcrsiption</t>
  </si>
  <si>
    <t>If any Change mention Month</t>
  </si>
  <si>
    <t>Changed Subcrsiption</t>
  </si>
  <si>
    <t>LIC Salary Savings Scheme(SSS)</t>
  </si>
  <si>
    <t>GIS</t>
  </si>
  <si>
    <t xml:space="preserve">Living in </t>
  </si>
  <si>
    <t>Savings</t>
  </si>
  <si>
    <t>Amount</t>
  </si>
  <si>
    <t>Deductions</t>
  </si>
  <si>
    <t>www.putta.in</t>
  </si>
  <si>
    <t>Rs.</t>
  </si>
  <si>
    <t>Interest on Educational Loan</t>
  </si>
  <si>
    <t xml:space="preserve">P R T U </t>
  </si>
  <si>
    <t>Advance Tax Paid</t>
  </si>
  <si>
    <t>Interest on Housing Loan Advance</t>
  </si>
  <si>
    <t>Mar,15</t>
  </si>
  <si>
    <t>Medical treatment of Handicapped/Dependent</t>
  </si>
  <si>
    <t>Apr,15</t>
  </si>
  <si>
    <t>May,15</t>
  </si>
  <si>
    <t>Medical Insurance Premium for Self, Spouse &amp; Children U/s 80D</t>
  </si>
  <si>
    <t>Jun,15</t>
  </si>
  <si>
    <t>Sri.</t>
  </si>
  <si>
    <t>Investment in Sukanya Samridhi   Rs.</t>
  </si>
  <si>
    <t>Senior Citizen Parents Medical Insurance U/s 80D</t>
  </si>
  <si>
    <t>Jul,15</t>
  </si>
  <si>
    <t>Smt.</t>
  </si>
  <si>
    <t>Master Health Checkup of Parents (Senior Citizens) U/c 80D.</t>
  </si>
  <si>
    <t>Aug,15</t>
  </si>
  <si>
    <t>Kum.</t>
  </si>
  <si>
    <t>Interest on Savings Account (not fixed) U/s 80TTA</t>
  </si>
  <si>
    <t>Sep,15</t>
  </si>
  <si>
    <t>March,15</t>
  </si>
  <si>
    <t>www.putta.in                         www.prtunzb.in</t>
  </si>
  <si>
    <t>Rajiv Gandhi Equity Share 80CCG Upto Rs.50000/-</t>
  </si>
  <si>
    <t>Oct,15</t>
  </si>
  <si>
    <t>www.putta.in              www.prtuts.org       www.prtunzb.in</t>
  </si>
  <si>
    <t>Programmed Developed By:</t>
  </si>
  <si>
    <t>Nov,15</t>
  </si>
  <si>
    <t>April,15</t>
  </si>
  <si>
    <t>DDO Particulars</t>
  </si>
  <si>
    <t>PUTTA SRINIVAS REDDY</t>
  </si>
  <si>
    <t>Dec,15</t>
  </si>
  <si>
    <t>Name of the DDO</t>
  </si>
  <si>
    <t>Chairman, PRTUTS,                           Technical Sub committee</t>
  </si>
  <si>
    <t>Jan,16</t>
  </si>
  <si>
    <t>June,15</t>
  </si>
  <si>
    <t>DDO Designation</t>
  </si>
  <si>
    <t>98490 25860</t>
  </si>
  <si>
    <t>Feb.16</t>
  </si>
  <si>
    <t>July,15</t>
  </si>
  <si>
    <t>DDO TAN No.</t>
  </si>
  <si>
    <t>DDO Office</t>
  </si>
  <si>
    <t>AG GPF</t>
  </si>
  <si>
    <t>www.putta.in          &amp;&amp;&amp;&amp;               www.prtunzb.in</t>
  </si>
  <si>
    <t>ZP GPF</t>
  </si>
  <si>
    <t>Sept,15</t>
  </si>
  <si>
    <t>CPS</t>
  </si>
  <si>
    <t>S.No</t>
  </si>
  <si>
    <t>Month</t>
  </si>
  <si>
    <t>HRA Recived</t>
  </si>
  <si>
    <t>CCA</t>
  </si>
  <si>
    <t>GPF Deducted</t>
  </si>
  <si>
    <t>APGLI</t>
  </si>
  <si>
    <t>LIC</t>
  </si>
  <si>
    <t>No Change</t>
  </si>
  <si>
    <t>Feb,16</t>
  </si>
  <si>
    <t>March,16</t>
  </si>
  <si>
    <t>Gazetted</t>
  </si>
  <si>
    <t>Non Gazetted</t>
  </si>
  <si>
    <t>GPF</t>
  </si>
  <si>
    <t>Nov</t>
  </si>
  <si>
    <t>Dec</t>
  </si>
  <si>
    <t>GLI</t>
  </si>
  <si>
    <t xml:space="preserve">investment in Sukanya Samruddhi </t>
  </si>
  <si>
    <t>Surrender Leave</t>
  </si>
  <si>
    <t>Medical Bills Exemted</t>
  </si>
  <si>
    <t>Pr.by Putta Srinivas Reddy (9849025860)</t>
  </si>
  <si>
    <t>LIC PREMIUM PAID BY HAND</t>
  </si>
  <si>
    <t>Postal LIC Premium Paid</t>
  </si>
  <si>
    <t>PHC</t>
  </si>
  <si>
    <t>Yes</t>
  </si>
  <si>
    <t>Medical Insurance Premium</t>
  </si>
  <si>
    <t>No</t>
  </si>
  <si>
    <t>Medical Insurance Premium-S.Citizens</t>
  </si>
  <si>
    <t>HMA</t>
  </si>
  <si>
    <t>Addl.</t>
  </si>
  <si>
    <t>Gross Total</t>
  </si>
  <si>
    <t>Expenditure on medical treatment</t>
  </si>
  <si>
    <t>Not Availed</t>
  </si>
  <si>
    <t>Expenditure on medical treatment S.Citizen</t>
  </si>
  <si>
    <t>No Increment</t>
  </si>
  <si>
    <t>00</t>
  </si>
  <si>
    <t>15 Days - March,15</t>
  </si>
  <si>
    <t>03</t>
  </si>
  <si>
    <t>30 Days - March,15</t>
  </si>
  <si>
    <t>Donation of Charitable Institution</t>
  </si>
  <si>
    <t>04</t>
  </si>
  <si>
    <t>15 Days - April,15</t>
  </si>
  <si>
    <t>Payments made to Electoral Trusts</t>
  </si>
  <si>
    <t>05</t>
  </si>
  <si>
    <t>30 Days - April,15</t>
  </si>
  <si>
    <t>06</t>
  </si>
  <si>
    <t>15 Days - May,15</t>
  </si>
  <si>
    <t>Interest on Educational Loan U/s 80E</t>
  </si>
  <si>
    <t>07</t>
  </si>
  <si>
    <t>30 Days - May,15</t>
  </si>
  <si>
    <t>08</t>
  </si>
  <si>
    <t>15 Days - June,15</t>
  </si>
  <si>
    <t>Interest on Housing Loan Advance U/S 24</t>
  </si>
  <si>
    <t>09</t>
  </si>
  <si>
    <t>30 Days - June,15</t>
  </si>
  <si>
    <t>10</t>
  </si>
  <si>
    <t>15 Days - July,15</t>
  </si>
  <si>
    <t>11</t>
  </si>
  <si>
    <t>30 Days - July,15</t>
  </si>
  <si>
    <t>12</t>
  </si>
  <si>
    <t>15 Days - Aug,15</t>
  </si>
  <si>
    <t>01</t>
  </si>
  <si>
    <t>30 Days - Aug,15</t>
  </si>
  <si>
    <t>02</t>
  </si>
  <si>
    <t>15 Days - Sept,15</t>
  </si>
  <si>
    <t xml:space="preserve">No Handicapped Dependent </t>
  </si>
  <si>
    <t>30 Days - Sept,15</t>
  </si>
  <si>
    <t>Medical treatment of 80% below Handicapped Dependent U/s 80DD</t>
  </si>
  <si>
    <t>15 Days - Oct,15</t>
  </si>
  <si>
    <t>Medical treatment of 80% above Handicapped Dependent U/s 80DD</t>
  </si>
  <si>
    <t>30 Days - Oct,15</t>
  </si>
  <si>
    <t>15 Days - Nov,15</t>
  </si>
  <si>
    <t>Own House</t>
  </si>
  <si>
    <t>Income from House Property Rs.</t>
  </si>
  <si>
    <t>30 Days - Nov,15</t>
  </si>
  <si>
    <t>Rented House</t>
  </si>
  <si>
    <t>15 Days - Dec,15</t>
  </si>
  <si>
    <t>30 Days - Dec,15</t>
  </si>
  <si>
    <t>15 Days - Jan,16</t>
  </si>
  <si>
    <t>30 Days - Jan,16</t>
  </si>
  <si>
    <t>15 Days - Feb,16</t>
  </si>
  <si>
    <t>Total</t>
  </si>
  <si>
    <t>30 Days - Feb,16</t>
  </si>
  <si>
    <t>DA Arrears</t>
  </si>
  <si>
    <t>Tobe</t>
  </si>
  <si>
    <t>Already</t>
  </si>
  <si>
    <t>Jan,15</t>
  </si>
  <si>
    <t>Rent paid in excess of 10% Salary</t>
  </si>
  <si>
    <t xml:space="preserve">(Rent: @ </t>
  </si>
  <si>
    <t>/-PM)</t>
  </si>
  <si>
    <t>Feb,15</t>
  </si>
  <si>
    <t>Up to Rs. 2,50,000</t>
  </si>
  <si>
    <t>AAS</t>
  </si>
  <si>
    <t>Rs.2,50,001 To 5,00,000.    (@ 10%)</t>
  </si>
  <si>
    <t>Prom</t>
  </si>
  <si>
    <t>Sorren</t>
  </si>
  <si>
    <t>Cond</t>
  </si>
  <si>
    <t>Tober</t>
  </si>
  <si>
    <t>14.5</t>
  </si>
  <si>
    <t>Basic Pay</t>
  </si>
  <si>
    <t>TS INC</t>
  </si>
  <si>
    <t>FPI + Add.</t>
  </si>
  <si>
    <t>AHRA</t>
  </si>
  <si>
    <t>Other Allows</t>
  </si>
  <si>
    <t>IR</t>
  </si>
  <si>
    <t>APGLIF</t>
  </si>
  <si>
    <t xml:space="preserve">GIS </t>
  </si>
  <si>
    <t>PT</t>
  </si>
  <si>
    <t>Incm Tax</t>
  </si>
  <si>
    <t>LIC (SSS)</t>
  </si>
  <si>
    <t>SWF, EWF &amp; CMRF</t>
  </si>
  <si>
    <t>Total Deductions</t>
  </si>
  <si>
    <t>DA Arrears                                                               (Jan,15 to Aug,15)</t>
  </si>
  <si>
    <t>DA Arrears                                                             (July,15 to Jan,16)</t>
  </si>
  <si>
    <t>Children T. Fee Concession</t>
  </si>
  <si>
    <t>Other Arrears</t>
  </si>
  <si>
    <t>TOTAL</t>
  </si>
  <si>
    <t>Signature of the DDO</t>
  </si>
  <si>
    <t>Signature of the Assese</t>
  </si>
  <si>
    <t>ANNEXURE - II</t>
  </si>
  <si>
    <t>INCOME TAX CALCULATION FOR THE YEAR 2015-16</t>
  </si>
  <si>
    <t xml:space="preserve">Name </t>
  </si>
  <si>
    <t xml:space="preserve">School / Office : </t>
  </si>
  <si>
    <t>Designation</t>
  </si>
  <si>
    <t xml:space="preserve">Mandal/ Dist. : </t>
  </si>
  <si>
    <t>Employee PAN Number</t>
  </si>
  <si>
    <t>Gross Salary………</t>
  </si>
  <si>
    <t>H.R.A. Exemption as per eligibility U/s. 10(13-A)</t>
  </si>
  <si>
    <t>a)</t>
  </si>
  <si>
    <t>Actual HRA received</t>
  </si>
  <si>
    <t>b)</t>
  </si>
  <si>
    <t>c)</t>
  </si>
  <si>
    <t>40% of Salary (Salary means Basic Pay+D.A)</t>
  </si>
  <si>
    <t>Total Salary (2-3)</t>
  </si>
  <si>
    <t>Deductions from Salary Income</t>
  </si>
  <si>
    <t>Exemption from Conveyance Allowance U/s. 10(14) (i)</t>
  </si>
  <si>
    <t>Profession Tax U/s 16 (3) B</t>
  </si>
  <si>
    <t>Income From Salary (4-5)</t>
  </si>
  <si>
    <t>Add: Income From other sources</t>
  </si>
  <si>
    <t>Add: Income From Capital Gains</t>
  </si>
  <si>
    <r>
      <t xml:space="preserve">Employer Contribution towards NPS U/s 80CCD(2) - </t>
    </r>
    <r>
      <rPr>
        <sz val="8"/>
        <rFont val="Book Antiqua"/>
        <family val="1"/>
      </rPr>
      <t>(Govt. Contribution)</t>
    </r>
  </si>
  <si>
    <t>Gross Total Income  (6+7+8+9+10)</t>
  </si>
  <si>
    <t>d)</t>
  </si>
  <si>
    <t>e)</t>
  </si>
  <si>
    <t>f)</t>
  </si>
  <si>
    <t>g)</t>
  </si>
  <si>
    <t>h)</t>
  </si>
  <si>
    <t>i)</t>
  </si>
  <si>
    <t>E.W.F, S.W.F &amp; CM Relief Fund U/s 80G</t>
  </si>
  <si>
    <t>TOTAL-----------</t>
  </si>
  <si>
    <t>Gross Total Income  (12-13)</t>
  </si>
  <si>
    <t>Savings U/s 80C (Limited to One lakh Fifty Thousand)</t>
  </si>
  <si>
    <t>Pol. No.(</t>
  </si>
  <si>
    <t>)</t>
  </si>
  <si>
    <t>LIC Premium Deducted in Salary Savings Scheme</t>
  </si>
  <si>
    <t>j)</t>
  </si>
  <si>
    <t>Investment in Sukanya Samridhi</t>
  </si>
  <si>
    <t>Tot</t>
  </si>
  <si>
    <t>defisit</t>
  </si>
  <si>
    <t>CCD(1)</t>
  </si>
  <si>
    <t>CCD(1B)</t>
  </si>
  <si>
    <t>k)</t>
  </si>
  <si>
    <t>l)</t>
  </si>
  <si>
    <t>Others       (</t>
  </si>
  <si>
    <t>Total Savings</t>
  </si>
  <si>
    <t>Condition L49</t>
  </si>
  <si>
    <t>Interest on Savings Account (not fixed) 80TTA</t>
  </si>
  <si>
    <r>
      <t>Net Taxable Income (14-15)</t>
    </r>
    <r>
      <rPr>
        <b/>
        <sz val="9"/>
        <rFont val="Book Antiqua"/>
        <family val="1"/>
      </rPr>
      <t xml:space="preserve"> rounded to nearest Rs.10/-</t>
    </r>
  </si>
  <si>
    <t>Tax on Income</t>
  </si>
  <si>
    <t>Nil</t>
  </si>
  <si>
    <t>Rs.2,50,001 To 5,00,000.     (@ 10%)</t>
  </si>
  <si>
    <t>Rs.5,00,001 To 10,00,000.   (@ 20%)</t>
  </si>
  <si>
    <t>above Rs.10,00,001.         (@ 30%)</t>
  </si>
  <si>
    <r>
      <t>Tax Rebate u/s 87A</t>
    </r>
    <r>
      <rPr>
        <b/>
        <sz val="11"/>
        <rFont val="Book Antiqua"/>
        <family val="1"/>
      </rPr>
      <t xml:space="preserve"> </t>
    </r>
    <r>
      <rPr>
        <b/>
        <sz val="8"/>
        <rFont val="Book Antiqua"/>
        <family val="1"/>
      </rPr>
      <t>(Taxable income &lt;500000/- max of 2000/-)</t>
    </r>
    <r>
      <rPr>
        <b/>
        <sz val="11"/>
        <rFont val="Book Antiqua"/>
        <family val="1"/>
      </rPr>
      <t xml:space="preserve"> </t>
    </r>
  </si>
  <si>
    <t>Education Cess @ 1%</t>
  </si>
  <si>
    <t>Secondary &amp; Higher Education Cess @ 2%</t>
  </si>
  <si>
    <t>Total Tax Payable (17+19+20) if Taxable income &lt;=5,00,000/- (17-18+19+20)</t>
  </si>
  <si>
    <t>Details of Advance Tax Deductions</t>
  </si>
  <si>
    <t>Upto</t>
  </si>
  <si>
    <t>Total Advance Tax    Rs.</t>
  </si>
  <si>
    <t>Tax to be Paid now</t>
  </si>
  <si>
    <t>Signature of the Drawing Officer</t>
  </si>
  <si>
    <t>Signature of the Employee</t>
  </si>
  <si>
    <t>………………………………………………………………………………………………………………………………</t>
  </si>
  <si>
    <t>Progrmme developed by www.putta.in (Putta Srinivas Reddy 98490 25860) www.prtunzb.in</t>
  </si>
  <si>
    <r>
      <t>FORM No. 16</t>
    </r>
    <r>
      <rPr>
        <sz val="14"/>
        <rFont val="Book Antiqua"/>
        <family val="1"/>
      </rPr>
      <t xml:space="preserve">                                                                                                                                                                                                                       ( Vide rule 31(1)(a) of Income Tax Rules, 1962 )</t>
    </r>
  </si>
  <si>
    <t>Certificate under section 203 of the Income-tax Act, 1961                                                                                                                    for Tax deducted at source from income chargeable under the head "Salaries"</t>
  </si>
  <si>
    <t>NAME AND ADDRESS OF THE EMPLOYER</t>
  </si>
  <si>
    <t>NAME AND DESIGNATION OF THE EMPLOYEE</t>
  </si>
  <si>
    <t>TAN No. of DDO</t>
  </si>
  <si>
    <t>PAN oF Employee</t>
  </si>
  <si>
    <t>Acknowledgement Nos. of all quarterly statements of TDS under sub-section 200 as provided by TIN Facilitation Center or NSDL web-site.</t>
  </si>
  <si>
    <t>Quarter</t>
  </si>
  <si>
    <t>Acknowledgement No.</t>
  </si>
  <si>
    <t>Period</t>
  </si>
  <si>
    <t>Assessment</t>
  </si>
  <si>
    <t>From</t>
  </si>
  <si>
    <t>To</t>
  </si>
  <si>
    <t>Year</t>
  </si>
  <si>
    <t>February,16</t>
  </si>
  <si>
    <t>2016-2017</t>
  </si>
  <si>
    <t>DETAILS OF SALARY PAID AND ANY OTHER INCOME AND TAX DEDUCTED</t>
  </si>
  <si>
    <t>Gross Salary</t>
  </si>
  <si>
    <t>Salary as per provisions cotained in section 17 (1)</t>
  </si>
  <si>
    <t>Value of percuisites under section 17(2)</t>
  </si>
  <si>
    <t>(As Per Form No. 12BA, Wherever applicable)</t>
  </si>
  <si>
    <t>Profits in lieu of salary under section 17(3)</t>
  </si>
  <si>
    <t>Tuition Fee</t>
  </si>
  <si>
    <t>(as per Form No. 12BA, Wherver applicable)</t>
  </si>
  <si>
    <t>Repayment of Home Loan installments</t>
  </si>
  <si>
    <t>Less: Allowance to the extent exempted U/s 10</t>
  </si>
  <si>
    <t>LIC Insurance premiums</t>
  </si>
  <si>
    <t>House Rent Allowence</t>
  </si>
  <si>
    <t>Other Allowance</t>
  </si>
  <si>
    <t>Balance (1-2)</t>
  </si>
  <si>
    <t>Entertainment Allowence</t>
  </si>
  <si>
    <t>Tax on Employment</t>
  </si>
  <si>
    <t>Infrasture Bonds ( ICICI/IDBI,etc)</t>
  </si>
  <si>
    <t>Aggreate of 4 (a)&amp;(b)</t>
  </si>
  <si>
    <t>INCOME CHARGEABLE UNDER THE HEAD SALARIES (3-5)</t>
  </si>
  <si>
    <t>Add: Any other income reported by the employee</t>
  </si>
  <si>
    <t>Add: Income of Capital Gains</t>
  </si>
  <si>
    <t>Less:Interest on Housing Loan U/s 24(b)</t>
  </si>
  <si>
    <t>Gross Total Income (6+7)</t>
  </si>
  <si>
    <t>Deductions Under Chapter VI-A</t>
  </si>
  <si>
    <t>A)</t>
  </si>
  <si>
    <t>UnderSection 80C,80CCC,80CCD etc</t>
  </si>
  <si>
    <t>Gross</t>
  </si>
  <si>
    <t>Qualifying</t>
  </si>
  <si>
    <t>Deductible</t>
  </si>
  <si>
    <t>Section 80C</t>
  </si>
  <si>
    <t>i</t>
  </si>
  <si>
    <t>G.P.F</t>
  </si>
  <si>
    <t>ii</t>
  </si>
  <si>
    <t>A.P.G.L.I</t>
  </si>
  <si>
    <t>iii</t>
  </si>
  <si>
    <t>G.I.S</t>
  </si>
  <si>
    <t>iv</t>
  </si>
  <si>
    <t>LIC Premium Deducted in SSS</t>
  </si>
  <si>
    <t>v</t>
  </si>
  <si>
    <t>vi</t>
  </si>
  <si>
    <t>vii</t>
  </si>
  <si>
    <t>viii</t>
  </si>
  <si>
    <t>ix</t>
  </si>
  <si>
    <t>x</t>
  </si>
  <si>
    <t xml:space="preserve">Investment in Sukanya Samridhi </t>
  </si>
  <si>
    <t>xi</t>
  </si>
  <si>
    <t>xii</t>
  </si>
  <si>
    <t>Total Under Section 80C…</t>
  </si>
  <si>
    <t>Section 80CCC</t>
  </si>
  <si>
    <t>Section 80CCD (1)</t>
  </si>
  <si>
    <t>Contribution to Pension Fund</t>
  </si>
  <si>
    <r>
      <t>Aggrigate Amount Deductible Under 3 Sections</t>
    </r>
    <r>
      <rPr>
        <sz val="11"/>
        <rFont val="Book Antiqua"/>
        <family val="1"/>
      </rPr>
      <t>………………………………………………….</t>
    </r>
  </si>
  <si>
    <t>Section 80CCG</t>
  </si>
  <si>
    <t>(RGES)</t>
  </si>
  <si>
    <t>Section 80TTA In</t>
  </si>
  <si>
    <t>Note:</t>
  </si>
  <si>
    <t>1.aggregate amount deductible under section 80C shall not exceed one lakh fifty thousand rupees.</t>
  </si>
  <si>
    <t>2.aggregate amount deductible under section 80C,80CCC,80CCD(1), shall not exceed 1.5 lakh rupees.</t>
  </si>
  <si>
    <t>FORM No. 16                                                                                                                                                                                                                       ( Vide rule 31(1)(a) of Income Tax Rules, 1962 )</t>
  </si>
  <si>
    <t>Certificate under section 203 of the Income-tax Act, 1961                                                                                                                                                                           for Tax deducted at source from income chargeable under the head "Salaries"</t>
  </si>
  <si>
    <t>April,16</t>
  </si>
  <si>
    <t>Tax on Employment  U/s 16 (3) B</t>
  </si>
  <si>
    <t xml:space="preserve">G.P.F </t>
  </si>
  <si>
    <t>Aggrigate Amount Deductible Under above 3 Sections Maximum 1.5Lacks …………</t>
  </si>
  <si>
    <t>Section 80CCG (RGES).</t>
  </si>
  <si>
    <t>80 CCD(1B)</t>
  </si>
  <si>
    <t>Aggrigate Amount Deductible Under above Sections………………………………………………….</t>
  </si>
  <si>
    <t>B)</t>
  </si>
  <si>
    <t>Other Sections Under Chapter VI A</t>
  </si>
  <si>
    <t>( Under Sections 80E,80G,80DD etc )</t>
  </si>
  <si>
    <t>EWF &amp; SWF U/s 80G</t>
  </si>
  <si>
    <t>Employer  Contribution towards NPS 80CCD(2) U/s 80CCE</t>
  </si>
  <si>
    <t>Total Under Sections 80G,80E,80DD etc…..</t>
  </si>
  <si>
    <t>Aggregate of Deductible Amounts U/Chapter VIA (A+B)</t>
  </si>
  <si>
    <t>TOTAL INCOME  (8-10)</t>
  </si>
  <si>
    <t>TAX ON TOTAL INCOME Rs.</t>
  </si>
  <si>
    <t>(Tax Rebate u/s 87A (Taxable income &lt;500000/- max of 2000/-))</t>
  </si>
  <si>
    <t>Education Cess @ 1% (On Tax at  S.No.12 )</t>
  </si>
  <si>
    <t>Secondary and Higher Education Cess @ 2% (On Tax at  S.No.12 )</t>
  </si>
  <si>
    <t>TAX PAYABLE (12+13+14)</t>
  </si>
  <si>
    <t>Relief under section 89 (attach details)</t>
  </si>
  <si>
    <t>TAX PAYABLE (15-16)</t>
  </si>
  <si>
    <r>
      <t>Less</t>
    </r>
    <r>
      <rPr>
        <sz val="10"/>
        <rFont val="Book Antiqua"/>
        <family val="1"/>
      </rPr>
      <t>:(a) Tax deducted at source U/s 192(1)</t>
    </r>
  </si>
  <si>
    <t xml:space="preserve"> (b)Tax paid by the employer on behalf of the</t>
  </si>
  <si>
    <t xml:space="preserve">     Employee U/S 192 (1A) on perquisited U/S 17 (2)</t>
  </si>
  <si>
    <t>TAX PAYABLE / REFUNDABLE (17-18)</t>
  </si>
  <si>
    <t>DETAILS OF TAX DEDUCTED AND DEPOSITED INTO CENTRAL GOVERNMENT ACCOUNT</t>
  </si>
  <si>
    <t>(The employer is to provide tranction - wise details of tax deducted and deposited)</t>
  </si>
  <si>
    <t>Sl.</t>
  </si>
  <si>
    <t>TDS</t>
  </si>
  <si>
    <t>Surcharge</t>
  </si>
  <si>
    <t>Education</t>
  </si>
  <si>
    <t>Total Tax</t>
  </si>
  <si>
    <t>Cheque/DD</t>
  </si>
  <si>
    <t>BSR Code</t>
  </si>
  <si>
    <t xml:space="preserve">Date on </t>
  </si>
  <si>
    <t>Transfer</t>
  </si>
  <si>
    <t>No.</t>
  </si>
  <si>
    <t>Cess</t>
  </si>
  <si>
    <t>Deposited</t>
  </si>
  <si>
    <t>No. (if any)</t>
  </si>
  <si>
    <t>of Bank</t>
  </si>
  <si>
    <t>Which Tax</t>
  </si>
  <si>
    <t>vocher/chalana</t>
  </si>
  <si>
    <t>Branch</t>
  </si>
  <si>
    <t>Identification No</t>
  </si>
  <si>
    <t>/-</t>
  </si>
  <si>
    <t>Sign--</t>
  </si>
  <si>
    <t>Place:</t>
  </si>
  <si>
    <t>Signature of the person responsible for deduction of tax</t>
  </si>
  <si>
    <t>Date:</t>
  </si>
  <si>
    <t>Full Name--</t>
  </si>
  <si>
    <t>Designation-</t>
  </si>
  <si>
    <t>Programme Developed by : www.putta.in and also available in www.prtunzb.in</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</si>
  <si>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</si>
  <si>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</si>
  <si>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</si>
  <si>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</si>
  <si>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</si>
  <si>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</si>
  <si>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</si>
  <si>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</si>
  <si>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</si>
  <si>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</si>
  <si>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</si>
  <si>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</si>
  <si>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</si>
  <si>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</si>
  <si>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</si>
  <si>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</si>
  <si>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</si>
  <si>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</si>
  <si>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</si>
  <si>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</si>
  <si>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</si>
  <si>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</si>
  <si>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</si>
  <si>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</si>
  <si>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</si>
  <si>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</si>
  <si>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</si>
  <si>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</si>
  <si>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</si>
  <si>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</si>
  <si>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</si>
  <si>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</si>
  <si>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</si>
  <si>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</si>
  <si>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</si>
  <si>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</si>
  <si>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</si>
  <si>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</si>
  <si>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</si>
  <si>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</si>
  <si>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</si>
  <si>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</si>
  <si>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</si>
  <si>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</si>
  <si>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</si>
  <si>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</si>
  <si>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</si>
  <si>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</si>
  <si>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</si>
  <si>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</si>
  <si>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</si>
  <si>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</si>
  <si>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</si>
  <si>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</si>
  <si>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</si>
  <si>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</si>
  <si>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</si>
  <si>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</si>
  <si>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</si>
  <si>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</si>
  <si>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</si>
  <si>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</si>
  <si>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</si>
  <si>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</si>
  <si>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</si>
  <si>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</si>
  <si>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</si>
  <si>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</si>
  <si>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</si>
  <si>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</si>
  <si>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</si>
  <si>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</si>
  <si>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</si>
  <si>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</si>
  <si>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</si>
  <si>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</si>
  <si>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</si>
  <si>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</si>
  <si>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</si>
  <si>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</si>
  <si>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</si>
  <si>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</si>
  <si>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</si>
  <si>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</si>
  <si>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</si>
  <si>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</si>
  <si>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</si>
  <si>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</si>
  <si>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</si>
  <si>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</si>
  <si>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</si>
  <si>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</si>
  <si>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</si>
  <si>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</si>
  <si>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</si>
  <si>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</si>
  <si>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</si>
  <si>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</si>
  <si>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</si>
  <si>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Number</t>
  </si>
  <si>
    <t>Rupees in Words Conversion</t>
  </si>
  <si>
    <t>Enter House Owner Particulars</t>
  </si>
  <si>
    <t>Name of The House Owner</t>
  </si>
  <si>
    <t>ABCDEFGHIJKL DFGDFGHGFHGF</t>
  </si>
  <si>
    <t>S/o</t>
  </si>
  <si>
    <t>ZXCVBNM TERSRSEFDGDF</t>
  </si>
  <si>
    <t>H.No.</t>
  </si>
  <si>
    <t>0-0-0-001</t>
  </si>
  <si>
    <t>Colony, Village</t>
  </si>
  <si>
    <t>DDFDFDSFGFdhFDGH, DFSDFGFGFGFGFGFGF</t>
  </si>
  <si>
    <t>Father Name of the Owner</t>
  </si>
  <si>
    <t>Mandal</t>
  </si>
  <si>
    <t>RTRHFHBCVHRGTRY</t>
  </si>
  <si>
    <t>Husband Name of the Owner</t>
  </si>
  <si>
    <t>W/o</t>
  </si>
  <si>
    <t>District</t>
  </si>
  <si>
    <t>Nizamabad</t>
  </si>
  <si>
    <t>ABCD0000Z</t>
  </si>
  <si>
    <t>RECEIPT  OF  HOUSE  RENT</t>
  </si>
  <si>
    <t>(Under Section 10 (13-A) of Income Tax Act )</t>
  </si>
  <si>
    <t xml:space="preserve">Rs. 1/- </t>
  </si>
  <si>
    <t xml:space="preserve">Revenue </t>
  </si>
  <si>
    <t>Stamp</t>
  </si>
  <si>
    <t>Date :</t>
  </si>
  <si>
    <t>(Hose Owner)</t>
  </si>
  <si>
    <t>"Above amount paid by me"</t>
  </si>
  <si>
    <t xml:space="preserve">H.No. </t>
  </si>
</sst>
</file>

<file path=xl/styles.xml><?xml version="1.0" encoding="utf-8"?>
<styleSheet xmlns="http://schemas.openxmlformats.org/spreadsheetml/2006/main">
  <numFmts count="9">
    <numFmt numFmtId="164" formatCode="GENERAL"/>
    <numFmt numFmtId="165" formatCode="#,##0"/>
    <numFmt numFmtId="166" formatCode="DD/MM/YYYY"/>
    <numFmt numFmtId="167" formatCode="0"/>
    <numFmt numFmtId="168" formatCode="@"/>
    <numFmt numFmtId="169" formatCode="0.000"/>
    <numFmt numFmtId="170" formatCode="MM/YY"/>
    <numFmt numFmtId="171" formatCode="_ * #,##0_ ;_ * \-#,##0_ ;_ * \-_ ;_ @_ "/>
    <numFmt numFmtId="172" formatCode="D\-MMM\-YYYY;@"/>
  </numFmts>
  <fonts count="113">
    <font>
      <sz val="11"/>
      <color indexed="8"/>
      <name val="Calibri"/>
      <family val="2"/>
    </font>
    <font>
      <sz val="10"/>
      <name val="Arial"/>
      <family val="0"/>
    </font>
    <font>
      <sz val="11"/>
      <color indexed="56"/>
      <name val="Calibri"/>
      <family val="2"/>
    </font>
    <font>
      <b/>
      <sz val="10"/>
      <color indexed="56"/>
      <name val="Verdana"/>
      <family val="2"/>
    </font>
    <font>
      <b/>
      <sz val="10"/>
      <color indexed="8"/>
      <name val="Verdana"/>
      <family val="2"/>
    </font>
    <font>
      <b/>
      <sz val="12"/>
      <color indexed="56"/>
      <name val="Verdana"/>
      <family val="2"/>
    </font>
    <font>
      <sz val="10"/>
      <color indexed="8"/>
      <name val="Verdana"/>
      <family val="2"/>
    </font>
    <font>
      <b/>
      <sz val="14"/>
      <color indexed="9"/>
      <name val="Arial"/>
      <family val="2"/>
    </font>
    <font>
      <b/>
      <sz val="10"/>
      <color indexed="9"/>
      <name val="Arial"/>
      <family val="2"/>
    </font>
    <font>
      <b/>
      <sz val="9"/>
      <color indexed="10"/>
      <name val="Arial"/>
      <family val="2"/>
    </font>
    <font>
      <b/>
      <sz val="9"/>
      <name val="Arial"/>
      <family val="2"/>
    </font>
    <font>
      <sz val="9"/>
      <color indexed="8"/>
      <name val="Verdana"/>
      <family val="2"/>
    </font>
    <font>
      <b/>
      <sz val="14"/>
      <color indexed="10"/>
      <name val="Verdana"/>
      <family val="2"/>
    </font>
    <font>
      <b/>
      <u val="single"/>
      <sz val="18"/>
      <color indexed="8"/>
      <name val="Arial"/>
      <family val="2"/>
    </font>
    <font>
      <b/>
      <sz val="10"/>
      <color indexed="8"/>
      <name val="Arial"/>
      <family val="2"/>
    </font>
    <font>
      <u val="single"/>
      <sz val="11"/>
      <color indexed="8"/>
      <name val="Calibri"/>
      <family val="2"/>
    </font>
    <font>
      <u val="single"/>
      <sz val="10"/>
      <color indexed="8"/>
      <name val="Arial"/>
      <family val="2"/>
    </font>
    <font>
      <b/>
      <sz val="10"/>
      <color indexed="9"/>
      <name val="Verdana"/>
      <family val="2"/>
    </font>
    <font>
      <b/>
      <sz val="10"/>
      <color indexed="10"/>
      <name val="Verdana"/>
      <family val="2"/>
    </font>
    <font>
      <b/>
      <sz val="10"/>
      <name val="Verdana"/>
      <family val="2"/>
    </font>
    <font>
      <b/>
      <sz val="18"/>
      <name val="Verdana"/>
      <family val="2"/>
    </font>
    <font>
      <b/>
      <sz val="18"/>
      <color indexed="22"/>
      <name val="Verdana"/>
      <family val="2"/>
    </font>
    <font>
      <b/>
      <sz val="10"/>
      <color indexed="10"/>
      <name val="Times New Roman"/>
      <family val="1"/>
    </font>
    <font>
      <b/>
      <sz val="10"/>
      <color indexed="10"/>
      <name val="Arial"/>
      <family val="2"/>
    </font>
    <font>
      <b/>
      <sz val="10"/>
      <color indexed="8"/>
      <name val="Times New Roman"/>
      <family val="1"/>
    </font>
    <font>
      <b/>
      <sz val="14"/>
      <name val="Castellar"/>
      <family val="1"/>
    </font>
    <font>
      <b/>
      <sz val="8"/>
      <color indexed="8"/>
      <name val="Verdana"/>
      <family val="2"/>
    </font>
    <font>
      <b/>
      <sz val="10"/>
      <color indexed="8"/>
      <name val="Tahoma"/>
      <family val="2"/>
    </font>
    <font>
      <b/>
      <sz val="11"/>
      <color indexed="10"/>
      <name val="Times New Roman"/>
      <family val="1"/>
    </font>
    <font>
      <b/>
      <sz val="9"/>
      <color indexed="8"/>
      <name val="Tahoma"/>
      <family val="2"/>
    </font>
    <font>
      <b/>
      <sz val="12"/>
      <color indexed="8"/>
      <name val="Verdana"/>
      <family val="2"/>
    </font>
    <font>
      <sz val="10"/>
      <color indexed="10"/>
      <name val="Times New Roman"/>
      <family val="1"/>
    </font>
    <font>
      <b/>
      <sz val="18"/>
      <color indexed="13"/>
      <name val="Verdana"/>
      <family val="2"/>
    </font>
    <font>
      <b/>
      <sz val="18"/>
      <color indexed="10"/>
      <name val="Verdana"/>
      <family val="2"/>
    </font>
    <font>
      <b/>
      <sz val="12"/>
      <color indexed="9"/>
      <name val="Verdana"/>
      <family val="2"/>
    </font>
    <font>
      <b/>
      <sz val="12"/>
      <color indexed="10"/>
      <name val="Verdana"/>
      <family val="2"/>
    </font>
    <font>
      <b/>
      <sz val="11"/>
      <color indexed="53"/>
      <name val="Verdana"/>
      <family val="2"/>
    </font>
    <font>
      <b/>
      <sz val="11"/>
      <color indexed="9"/>
      <name val="Verdana"/>
      <family val="2"/>
    </font>
    <font>
      <b/>
      <sz val="11"/>
      <color indexed="8"/>
      <name val="Times New Roman"/>
      <family val="1"/>
    </font>
    <font>
      <b/>
      <sz val="12"/>
      <color indexed="8"/>
      <name val="Times New Roman"/>
      <family val="1"/>
    </font>
    <font>
      <b/>
      <sz val="20"/>
      <color indexed="9"/>
      <name val="Verdana"/>
      <family val="2"/>
    </font>
    <font>
      <b/>
      <sz val="22"/>
      <color indexed="10"/>
      <name val="Calibri"/>
      <family val="2"/>
    </font>
    <font>
      <u val="single"/>
      <sz val="11"/>
      <color indexed="12"/>
      <name val="Calibri"/>
      <family val="2"/>
    </font>
    <font>
      <b/>
      <sz val="16"/>
      <color indexed="9"/>
      <name val="Verdana"/>
      <family val="2"/>
    </font>
    <font>
      <b/>
      <sz val="11"/>
      <color indexed="8"/>
      <name val="Verdana"/>
      <family val="2"/>
    </font>
    <font>
      <b/>
      <sz val="12"/>
      <color indexed="8"/>
      <name val="Calibri"/>
      <family val="2"/>
    </font>
    <font>
      <sz val="22"/>
      <color indexed="10"/>
      <name val="Calibri"/>
      <family val="2"/>
    </font>
    <font>
      <b/>
      <sz val="18"/>
      <color indexed="13"/>
      <name val="Calibri"/>
      <family val="2"/>
    </font>
    <font>
      <b/>
      <sz val="11"/>
      <color indexed="8"/>
      <name val="Lucida Handwriting"/>
      <family val="4"/>
    </font>
    <font>
      <b/>
      <sz val="11"/>
      <color indexed="8"/>
      <name val="Lucida Sans"/>
      <family val="2"/>
    </font>
    <font>
      <b/>
      <sz val="28"/>
      <color indexed="22"/>
      <name val="Bodoni MT Black"/>
      <family val="1"/>
    </font>
    <font>
      <b/>
      <sz val="13"/>
      <color indexed="22"/>
      <name val="Verdana"/>
      <family val="2"/>
    </font>
    <font>
      <sz val="10"/>
      <color indexed="10"/>
      <name val="Arial"/>
      <family val="2"/>
    </font>
    <font>
      <sz val="10"/>
      <color indexed="10"/>
      <name val="Book Antiqua"/>
      <family val="1"/>
    </font>
    <font>
      <b/>
      <sz val="10"/>
      <color indexed="10"/>
      <name val="Tahoma"/>
      <family val="2"/>
    </font>
    <font>
      <sz val="9"/>
      <color indexed="10"/>
      <name val="Verdana"/>
      <family val="2"/>
    </font>
    <font>
      <b/>
      <sz val="8"/>
      <color indexed="10"/>
      <name val="Verdana"/>
      <family val="2"/>
    </font>
    <font>
      <b/>
      <sz val="9"/>
      <color indexed="10"/>
      <name val="Verdana"/>
      <family val="2"/>
    </font>
    <font>
      <sz val="9"/>
      <color indexed="10"/>
      <name val="Book Antiqua"/>
      <family val="1"/>
    </font>
    <font>
      <b/>
      <sz val="12"/>
      <color indexed="10"/>
      <name val="Times New Roman"/>
      <family val="1"/>
    </font>
    <font>
      <b/>
      <sz val="8"/>
      <color indexed="10"/>
      <name val="Times New Roman"/>
      <family val="1"/>
    </font>
    <font>
      <b/>
      <sz val="28"/>
      <color indexed="13"/>
      <name val="Calibri"/>
      <family val="2"/>
    </font>
    <font>
      <b/>
      <sz val="16"/>
      <color indexed="8"/>
      <name val="Calibri"/>
      <family val="2"/>
    </font>
    <font>
      <b/>
      <sz val="12"/>
      <color indexed="9"/>
      <name val="Calibri"/>
      <family val="2"/>
    </font>
    <font>
      <b/>
      <sz val="20"/>
      <name val="Calibri"/>
      <family val="2"/>
    </font>
    <font>
      <sz val="20"/>
      <color indexed="9"/>
      <name val="Calibri"/>
      <family val="2"/>
    </font>
    <font>
      <sz val="36"/>
      <color indexed="9"/>
      <name val="Calibri"/>
      <family val="2"/>
    </font>
    <font>
      <sz val="10"/>
      <color indexed="9"/>
      <name val="Book Antiqua"/>
      <family val="1"/>
    </font>
    <font>
      <sz val="12"/>
      <color indexed="8"/>
      <name val="Book Antiqua"/>
      <family val="1"/>
    </font>
    <font>
      <sz val="10"/>
      <color indexed="8"/>
      <name val="Book Antiqua"/>
      <family val="1"/>
    </font>
    <font>
      <sz val="10"/>
      <color indexed="8"/>
      <name val="Times New Roman"/>
      <family val="1"/>
    </font>
    <font>
      <b/>
      <sz val="9"/>
      <color indexed="8"/>
      <name val="Times New Roman"/>
      <family val="1"/>
    </font>
    <font>
      <sz val="7"/>
      <color indexed="8"/>
      <name val="Times New Roman"/>
      <family val="1"/>
    </font>
    <font>
      <sz val="10"/>
      <color indexed="9"/>
      <name val="Times New Roman"/>
      <family val="1"/>
    </font>
    <font>
      <sz val="10"/>
      <name val="Book Antiqua"/>
      <family val="1"/>
    </font>
    <font>
      <sz val="8"/>
      <color indexed="8"/>
      <name val="Arial Narrow"/>
      <family val="2"/>
    </font>
    <font>
      <sz val="9"/>
      <color indexed="8"/>
      <name val="Arial Narrow"/>
      <family val="2"/>
    </font>
    <font>
      <sz val="10"/>
      <color indexed="8"/>
      <name val="Arial Narrow"/>
      <family val="2"/>
    </font>
    <font>
      <sz val="9"/>
      <color indexed="8"/>
      <name val="Book Antiqua"/>
      <family val="1"/>
    </font>
    <font>
      <sz val="11"/>
      <color indexed="8"/>
      <name val="Book Antiqua"/>
      <family val="1"/>
    </font>
    <font>
      <sz val="11"/>
      <color indexed="9"/>
      <name val="Book Antiqua"/>
      <family val="1"/>
    </font>
    <font>
      <sz val="12"/>
      <color indexed="9"/>
      <name val="Book Antiqua"/>
      <family val="1"/>
    </font>
    <font>
      <b/>
      <sz val="10"/>
      <color indexed="9"/>
      <name val="Book Antiqua"/>
      <family val="1"/>
    </font>
    <font>
      <b/>
      <sz val="10"/>
      <name val="Book Antiqua"/>
      <family val="1"/>
    </font>
    <font>
      <sz val="12"/>
      <name val="Book Antiqua"/>
      <family val="1"/>
    </font>
    <font>
      <b/>
      <sz val="12"/>
      <name val="Book Antiqua"/>
      <family val="1"/>
    </font>
    <font>
      <b/>
      <sz val="10"/>
      <color indexed="10"/>
      <name val="Book Antiqua"/>
      <family val="1"/>
    </font>
    <font>
      <sz val="11"/>
      <name val="Book Antiqua"/>
      <family val="1"/>
    </font>
    <font>
      <b/>
      <sz val="11"/>
      <name val="Book Antiqua"/>
      <family val="1"/>
    </font>
    <font>
      <sz val="9"/>
      <name val="Book Antiqua"/>
      <family val="1"/>
    </font>
    <font>
      <b/>
      <sz val="9"/>
      <color indexed="10"/>
      <name val="Book Antiqua"/>
      <family val="1"/>
    </font>
    <font>
      <sz val="8"/>
      <name val="Book Antiqua"/>
      <family val="1"/>
    </font>
    <font>
      <b/>
      <sz val="9"/>
      <name val="Book Antiqua"/>
      <family val="1"/>
    </font>
    <font>
      <sz val="10"/>
      <name val="Tahoma"/>
      <family val="2"/>
    </font>
    <font>
      <b/>
      <sz val="8"/>
      <name val="Book Antiqua"/>
      <family val="1"/>
    </font>
    <font>
      <b/>
      <sz val="14"/>
      <name val="Book Antiqua"/>
      <family val="1"/>
    </font>
    <font>
      <sz val="14"/>
      <name val="Book Antiqua"/>
      <family val="1"/>
    </font>
    <font>
      <sz val="16"/>
      <name val="Book Antiqua"/>
      <family val="1"/>
    </font>
    <font>
      <b/>
      <sz val="11"/>
      <color indexed="10"/>
      <name val="Book Antiqua"/>
      <family val="1"/>
    </font>
    <font>
      <b/>
      <sz val="13"/>
      <name val="Book Antiqua"/>
      <family val="1"/>
    </font>
    <font>
      <b/>
      <u val="single"/>
      <sz val="11"/>
      <color indexed="14"/>
      <name val="Arial"/>
      <family val="2"/>
    </font>
    <font>
      <b/>
      <sz val="12"/>
      <color indexed="12"/>
      <name val="Arial"/>
      <family val="2"/>
    </font>
    <font>
      <b/>
      <sz val="10"/>
      <color indexed="12"/>
      <name val="Arial"/>
      <family val="2"/>
    </font>
    <font>
      <b/>
      <sz val="12"/>
      <color indexed="10"/>
      <name val="Arial"/>
      <family val="2"/>
    </font>
    <font>
      <b/>
      <sz val="10"/>
      <name val="Arial"/>
      <family val="2"/>
    </font>
    <font>
      <b/>
      <sz val="12"/>
      <name val="Arial"/>
      <family val="2"/>
    </font>
    <font>
      <b/>
      <sz val="22"/>
      <color indexed="9"/>
      <name val="Calibri"/>
      <family val="2"/>
    </font>
    <font>
      <b/>
      <sz val="14"/>
      <color indexed="8"/>
      <name val="Calibri"/>
      <family val="2"/>
    </font>
    <font>
      <u val="single"/>
      <sz val="14"/>
      <name val="Wide Latin"/>
      <family val="1"/>
    </font>
    <font>
      <b/>
      <sz val="14"/>
      <name val="Times New Roman"/>
      <family val="1"/>
    </font>
    <font>
      <sz val="12"/>
      <name val="Times New Roman"/>
      <family val="1"/>
    </font>
    <font>
      <sz val="12"/>
      <color indexed="8"/>
      <name val="Calibri"/>
      <family val="2"/>
    </font>
    <font>
      <b/>
      <sz val="20"/>
      <color indexed="57"/>
      <name val="Calibri"/>
      <family val="2"/>
    </font>
  </fonts>
  <fills count="22">
    <fill>
      <patternFill/>
    </fill>
    <fill>
      <patternFill patternType="gray125"/>
    </fill>
    <fill>
      <patternFill patternType="solid">
        <fgColor indexed="47"/>
        <bgColor indexed="64"/>
      </patternFill>
    </fill>
    <fill>
      <patternFill patternType="solid">
        <fgColor indexed="8"/>
        <bgColor indexed="64"/>
      </patternFill>
    </fill>
    <fill>
      <patternFill patternType="solid">
        <fgColor indexed="27"/>
        <bgColor indexed="64"/>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56"/>
        <bgColor indexed="64"/>
      </patternFill>
    </fill>
    <fill>
      <patternFill patternType="solid">
        <fgColor indexed="18"/>
        <bgColor indexed="64"/>
      </patternFill>
    </fill>
    <fill>
      <patternFill patternType="solid">
        <fgColor indexed="20"/>
        <bgColor indexed="64"/>
      </patternFill>
    </fill>
    <fill>
      <patternFill patternType="solid">
        <fgColor indexed="30"/>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10"/>
        <bgColor indexed="64"/>
      </patternFill>
    </fill>
    <fill>
      <patternFill patternType="solid">
        <fgColor indexed="53"/>
        <bgColor indexed="64"/>
      </patternFill>
    </fill>
    <fill>
      <patternFill patternType="solid">
        <fgColor indexed="52"/>
        <bgColor indexed="64"/>
      </patternFill>
    </fill>
    <fill>
      <patternFill patternType="solid">
        <fgColor indexed="29"/>
        <bgColor indexed="64"/>
      </patternFill>
    </fill>
  </fills>
  <borders count="105">
    <border>
      <left/>
      <right/>
      <top/>
      <bottom/>
      <diagonal/>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style="hair">
        <color indexed="63"/>
      </left>
      <right style="hair">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color indexed="63"/>
      </right>
      <top style="thin">
        <color indexed="63"/>
      </top>
      <bottom>
        <color indexed="63"/>
      </bottom>
    </border>
    <border>
      <left style="medium">
        <color indexed="63"/>
      </left>
      <right style="medium">
        <color indexed="63"/>
      </right>
      <top style="medium">
        <color indexed="63"/>
      </top>
      <bottom style="medium">
        <color indexed="63"/>
      </bottom>
    </border>
    <border>
      <left>
        <color indexed="63"/>
      </left>
      <right style="thin">
        <color indexed="63"/>
      </right>
      <top>
        <color indexed="63"/>
      </top>
      <bottom style="thin">
        <color indexed="63"/>
      </bottom>
    </border>
    <border>
      <left style="thin">
        <color indexed="63"/>
      </left>
      <right style="thin">
        <color indexed="63"/>
      </right>
      <top>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style="medium">
        <color indexed="63"/>
      </left>
      <right>
        <color indexed="63"/>
      </right>
      <top>
        <color indexed="63"/>
      </top>
      <bottom>
        <color indexed="63"/>
      </bottom>
    </border>
    <border>
      <left style="thin">
        <color indexed="63"/>
      </left>
      <right style="thin">
        <color indexed="63"/>
      </right>
      <top>
        <color indexed="63"/>
      </top>
      <bottom style="thin">
        <color indexed="63"/>
      </bottom>
    </border>
    <border>
      <left>
        <color indexed="63"/>
      </left>
      <right>
        <color indexed="63"/>
      </right>
      <top>
        <color indexed="63"/>
      </top>
      <bottom style="thin">
        <color indexed="63"/>
      </bottom>
    </border>
    <border>
      <left style="medium">
        <color indexed="63"/>
      </left>
      <right style="medium">
        <color indexed="63"/>
      </right>
      <top style="medium">
        <color indexed="63"/>
      </top>
      <bottom>
        <color indexed="63"/>
      </bottom>
    </border>
    <border>
      <left>
        <color indexed="63"/>
      </left>
      <right>
        <color indexed="63"/>
      </right>
      <top style="medium">
        <color indexed="63"/>
      </top>
      <bottom style="medium">
        <color indexed="63"/>
      </bottom>
    </border>
    <border>
      <left style="medium">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medium">
        <color indexed="63"/>
      </left>
      <right>
        <color indexed="63"/>
      </right>
      <top style="medium">
        <color indexed="63"/>
      </top>
      <bottom>
        <color indexed="63"/>
      </bottom>
    </border>
    <border>
      <left>
        <color indexed="63"/>
      </left>
      <right>
        <color indexed="63"/>
      </right>
      <top style="thin">
        <color indexed="63"/>
      </top>
      <bottom style="thin">
        <color indexed="63"/>
      </bottom>
    </border>
    <border>
      <left>
        <color indexed="63"/>
      </left>
      <right>
        <color indexed="63"/>
      </right>
      <top style="thin">
        <color indexed="63"/>
      </top>
      <bottom style="medium">
        <color indexed="63"/>
      </bottom>
    </border>
    <border>
      <left>
        <color indexed="63"/>
      </left>
      <right style="medium">
        <color indexed="63"/>
      </right>
      <top style="thin">
        <color indexed="63"/>
      </top>
      <bottom style="medium">
        <color indexed="63"/>
      </bottom>
    </border>
    <border>
      <left style="medium">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style="medium">
        <color indexed="63"/>
      </right>
      <top>
        <color indexed="63"/>
      </top>
      <bottom>
        <color indexed="63"/>
      </bottom>
    </border>
    <border>
      <left style="thin">
        <color indexed="63"/>
      </left>
      <right style="medium">
        <color indexed="63"/>
      </right>
      <top style="medium">
        <color indexed="63"/>
      </top>
      <bottom style="medium">
        <color indexed="63"/>
      </bottom>
    </border>
    <border>
      <left>
        <color indexed="63"/>
      </left>
      <right style="medium">
        <color indexed="63"/>
      </right>
      <top style="medium">
        <color indexed="63"/>
      </top>
      <bottom>
        <color indexed="63"/>
      </bottom>
    </border>
    <border>
      <left>
        <color indexed="63"/>
      </left>
      <right style="medium">
        <color indexed="63"/>
      </right>
      <top>
        <color indexed="63"/>
      </top>
      <bottom>
        <color indexed="63"/>
      </bottom>
    </border>
    <border>
      <left>
        <color indexed="63"/>
      </left>
      <right>
        <color indexed="63"/>
      </right>
      <top style="medium">
        <color indexed="63"/>
      </top>
      <bottom>
        <color indexed="63"/>
      </bottom>
    </border>
    <border>
      <left>
        <color indexed="63"/>
      </left>
      <right>
        <color indexed="63"/>
      </right>
      <top>
        <color indexed="63"/>
      </top>
      <bottom style="medium">
        <color indexed="63"/>
      </bottom>
    </border>
    <border>
      <left style="thin">
        <color indexed="63"/>
      </left>
      <right style="medium">
        <color indexed="63"/>
      </right>
      <top style="medium">
        <color indexed="63"/>
      </top>
      <bottom style="thin">
        <color indexed="63"/>
      </bottom>
    </border>
    <border>
      <left>
        <color indexed="63"/>
      </left>
      <right style="medium">
        <color indexed="63"/>
      </right>
      <top style="medium">
        <color indexed="63"/>
      </top>
      <bottom style="thin">
        <color indexed="63"/>
      </bottom>
    </border>
    <border>
      <left style="thin">
        <color indexed="63"/>
      </left>
      <right style="medium">
        <color indexed="63"/>
      </right>
      <top style="thin">
        <color indexed="63"/>
      </top>
      <bottom style="thin">
        <color indexed="63"/>
      </bottom>
    </border>
    <border>
      <left>
        <color indexed="63"/>
      </left>
      <right style="medium">
        <color indexed="63"/>
      </right>
      <top style="thin">
        <color indexed="63"/>
      </top>
      <bottom style="thin">
        <color indexed="63"/>
      </bottom>
    </border>
    <border>
      <left style="thin">
        <color indexed="63"/>
      </left>
      <right style="medium">
        <color indexed="63"/>
      </right>
      <top style="thin">
        <color indexed="63"/>
      </top>
      <bottom style="medium">
        <color indexed="63"/>
      </bottom>
    </border>
    <border>
      <left style="thin">
        <color indexed="63"/>
      </left>
      <right style="medium">
        <color indexed="63"/>
      </right>
      <top>
        <color indexed="63"/>
      </top>
      <bottom style="thin">
        <color indexed="63"/>
      </bottom>
    </border>
    <border>
      <left>
        <color indexed="63"/>
      </left>
      <right style="medium">
        <color indexed="63"/>
      </right>
      <top>
        <color indexed="63"/>
      </top>
      <bottom style="thin">
        <color indexed="63"/>
      </bottom>
    </border>
    <border>
      <left>
        <color indexed="63"/>
      </left>
      <right>
        <color indexed="63"/>
      </right>
      <top>
        <color indexed="63"/>
      </top>
      <bottom style="dashed">
        <color indexed="63"/>
      </bottom>
    </border>
    <border>
      <left style="thin">
        <color indexed="63"/>
      </left>
      <right>
        <color indexed="63"/>
      </right>
      <top>
        <color indexed="63"/>
      </top>
      <bottom style="hair">
        <color indexed="63"/>
      </bottom>
    </border>
    <border>
      <left>
        <color indexed="63"/>
      </left>
      <right>
        <color indexed="63"/>
      </right>
      <top>
        <color indexed="63"/>
      </top>
      <bottom style="hair">
        <color indexed="63"/>
      </bottom>
    </border>
    <border>
      <left>
        <color indexed="63"/>
      </left>
      <right style="medium">
        <color indexed="63"/>
      </right>
      <top>
        <color indexed="63"/>
      </top>
      <bottom style="hair">
        <color indexed="63"/>
      </bottom>
    </border>
    <border>
      <left style="thin">
        <color indexed="63"/>
      </left>
      <right>
        <color indexed="63"/>
      </right>
      <top style="hair">
        <color indexed="63"/>
      </top>
      <bottom>
        <color indexed="63"/>
      </bottom>
    </border>
    <border>
      <left>
        <color indexed="63"/>
      </left>
      <right>
        <color indexed="63"/>
      </right>
      <top style="hair">
        <color indexed="63"/>
      </top>
      <bottom>
        <color indexed="63"/>
      </bottom>
    </border>
    <border>
      <left>
        <color indexed="63"/>
      </left>
      <right style="thin">
        <color indexed="63"/>
      </right>
      <top style="hair">
        <color indexed="63"/>
      </top>
      <bottom>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hair">
        <color indexed="63"/>
      </bottom>
    </border>
    <border>
      <left>
        <color indexed="63"/>
      </left>
      <right style="thin">
        <color indexed="63"/>
      </right>
      <top>
        <color indexed="63"/>
      </top>
      <bottom style="hair">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
      <left>
        <color indexed="63"/>
      </left>
      <right style="thin">
        <color indexed="63"/>
      </right>
      <top style="hair">
        <color indexed="63"/>
      </top>
      <bottom style="thin">
        <color indexed="63"/>
      </bottom>
    </border>
    <border>
      <left>
        <color indexed="63"/>
      </left>
      <right style="medium">
        <color indexed="63"/>
      </right>
      <top style="hair">
        <color indexed="63"/>
      </top>
      <bottom style="hair">
        <color indexed="63"/>
      </bottom>
    </border>
    <border>
      <left style="medium">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style="double">
        <color indexed="63"/>
      </left>
      <right style="double">
        <color indexed="63"/>
      </right>
      <top style="double">
        <color indexed="63"/>
      </top>
      <bottom>
        <color indexed="63"/>
      </bottom>
    </border>
    <border>
      <left style="double">
        <color indexed="63"/>
      </left>
      <right style="double">
        <color indexed="63"/>
      </right>
      <top>
        <color indexed="63"/>
      </top>
      <bottom>
        <color indexed="63"/>
      </bottom>
    </border>
    <border>
      <left style="double">
        <color indexed="63"/>
      </left>
      <right>
        <color indexed="63"/>
      </right>
      <top style="thin">
        <color indexed="63"/>
      </top>
      <bottom style="hair">
        <color indexed="63"/>
      </bottom>
    </border>
    <border>
      <left style="thin">
        <color indexed="63"/>
      </left>
      <right style="double">
        <color indexed="63"/>
      </right>
      <top style="thin">
        <color indexed="63"/>
      </top>
      <bottom style="hair">
        <color indexed="63"/>
      </bottom>
    </border>
    <border>
      <left style="double">
        <color indexed="63"/>
      </left>
      <right>
        <color indexed="63"/>
      </right>
      <top>
        <color indexed="63"/>
      </top>
      <bottom>
        <color indexed="63"/>
      </bottom>
    </border>
    <border>
      <left>
        <color indexed="63"/>
      </left>
      <right style="double">
        <color indexed="63"/>
      </right>
      <top>
        <color indexed="63"/>
      </top>
      <bottom>
        <color indexed="63"/>
      </bottom>
    </border>
    <border>
      <left style="thin">
        <color indexed="63"/>
      </left>
      <right style="double">
        <color indexed="63"/>
      </right>
      <top>
        <color indexed="63"/>
      </top>
      <bottom>
        <color indexed="63"/>
      </bottom>
    </border>
    <border>
      <left style="double">
        <color indexed="63"/>
      </left>
      <right style="thin">
        <color indexed="63"/>
      </right>
      <top>
        <color indexed="63"/>
      </top>
      <bottom>
        <color indexed="63"/>
      </bottom>
    </border>
    <border>
      <left style="double">
        <color indexed="63"/>
      </left>
      <right style="medium">
        <color indexed="63"/>
      </right>
      <top style="medium">
        <color indexed="63"/>
      </top>
      <bottom style="medium">
        <color indexed="63"/>
      </bottom>
    </border>
    <border>
      <left style="medium">
        <color indexed="63"/>
      </left>
      <right style="double">
        <color indexed="63"/>
      </right>
      <top style="medium">
        <color indexed="63"/>
      </top>
      <bottom style="medium">
        <color indexed="63"/>
      </bottom>
    </border>
    <border>
      <left style="double">
        <color indexed="63"/>
      </left>
      <right style="double">
        <color indexed="63"/>
      </right>
      <top>
        <color indexed="63"/>
      </top>
      <bottom style="thin">
        <color indexed="63"/>
      </bottom>
    </border>
    <border>
      <left style="double">
        <color indexed="63"/>
      </left>
      <right style="thin">
        <color indexed="63"/>
      </right>
      <top>
        <color indexed="63"/>
      </top>
      <bottom style="thin">
        <color indexed="63"/>
      </bottom>
    </border>
    <border>
      <left style="thin">
        <color indexed="63"/>
      </left>
      <right style="double">
        <color indexed="63"/>
      </right>
      <top style="thin">
        <color indexed="63"/>
      </top>
      <bottom>
        <color indexed="63"/>
      </bottom>
    </border>
    <border>
      <left style="thin">
        <color indexed="63"/>
      </left>
      <right style="double">
        <color indexed="63"/>
      </right>
      <top>
        <color indexed="63"/>
      </top>
      <bottom style="thin">
        <color indexed="63"/>
      </bottom>
    </border>
    <border>
      <left style="double">
        <color indexed="63"/>
      </left>
      <right style="thin">
        <color indexed="63"/>
      </right>
      <top style="thin">
        <color indexed="63"/>
      </top>
      <bottom style="thin">
        <color indexed="63"/>
      </bottom>
    </border>
    <border>
      <left>
        <color indexed="63"/>
      </left>
      <right style="double">
        <color indexed="63"/>
      </right>
      <top>
        <color indexed="63"/>
      </top>
      <bottom style="thin">
        <color indexed="63"/>
      </bottom>
    </border>
    <border>
      <left style="double">
        <color indexed="63"/>
      </left>
      <right style="double">
        <color indexed="63"/>
      </right>
      <top style="thin">
        <color indexed="63"/>
      </top>
      <bottom>
        <color indexed="63"/>
      </bottom>
    </border>
    <border>
      <left style="thin">
        <color indexed="63"/>
      </left>
      <right>
        <color indexed="63"/>
      </right>
      <top style="thin">
        <color indexed="63"/>
      </top>
      <bottom style="hair">
        <color indexed="63"/>
      </bottom>
    </border>
    <border>
      <left>
        <color indexed="63"/>
      </left>
      <right style="double">
        <color indexed="63"/>
      </right>
      <top style="thin">
        <color indexed="63"/>
      </top>
      <bottom style="hair">
        <color indexed="63"/>
      </bottom>
    </border>
    <border>
      <left>
        <color indexed="63"/>
      </left>
      <right style="double">
        <color indexed="63"/>
      </right>
      <top style="hair">
        <color indexed="63"/>
      </top>
      <bottom style="hair">
        <color indexed="63"/>
      </bottom>
    </border>
    <border>
      <left>
        <color indexed="63"/>
      </left>
      <right style="double">
        <color indexed="63"/>
      </right>
      <top style="hair">
        <color indexed="63"/>
      </top>
      <bottom style="thin">
        <color indexed="63"/>
      </bottom>
    </border>
    <border>
      <left>
        <color indexed="63"/>
      </left>
      <right style="double">
        <color indexed="63"/>
      </right>
      <top style="thin">
        <color indexed="63"/>
      </top>
      <bottom>
        <color indexed="63"/>
      </bottom>
    </border>
    <border>
      <left style="double">
        <color indexed="63"/>
      </left>
      <right>
        <color indexed="63"/>
      </right>
      <top>
        <color indexed="63"/>
      </top>
      <bottom style="double">
        <color indexed="63"/>
      </bottom>
    </border>
    <border>
      <left>
        <color indexed="63"/>
      </left>
      <right style="double">
        <color indexed="63"/>
      </right>
      <top>
        <color indexed="63"/>
      </top>
      <bottom style="double">
        <color indexed="63"/>
      </bottom>
    </border>
    <border>
      <left style="double">
        <color indexed="63"/>
      </left>
      <right style="thin">
        <color indexed="63"/>
      </right>
      <top style="thin">
        <color indexed="63"/>
      </top>
      <bottom style="hair">
        <color indexed="63"/>
      </bottom>
    </border>
    <border>
      <left style="thin">
        <color indexed="63"/>
      </left>
      <right style="double">
        <color indexed="63"/>
      </right>
      <top>
        <color indexed="63"/>
      </top>
      <bottom style="medium">
        <color indexed="63"/>
      </bottom>
    </border>
    <border>
      <left style="thin">
        <color indexed="63"/>
      </left>
      <right style="double">
        <color indexed="63"/>
      </right>
      <top style="thin">
        <color indexed="63"/>
      </top>
      <bottom style="thin">
        <color indexed="63"/>
      </bottom>
    </border>
    <border>
      <left style="double">
        <color indexed="63"/>
      </left>
      <right style="double">
        <color indexed="63"/>
      </right>
      <top style="thin">
        <color indexed="63"/>
      </top>
      <bottom style="thin">
        <color indexed="63"/>
      </bottom>
    </border>
    <border>
      <left>
        <color indexed="63"/>
      </left>
      <right>
        <color indexed="63"/>
      </right>
      <top style="double">
        <color indexed="63"/>
      </top>
      <bottom>
        <color indexed="63"/>
      </bottom>
    </border>
    <border>
      <left style="double">
        <color indexed="63"/>
      </left>
      <right style="thin">
        <color indexed="63"/>
      </right>
      <top style="double">
        <color indexed="63"/>
      </top>
      <bottom>
        <color indexed="63"/>
      </bottom>
    </border>
    <border>
      <left style="hair">
        <color indexed="63"/>
      </left>
      <right style="hair">
        <color indexed="63"/>
      </right>
      <top style="double">
        <color indexed="63"/>
      </top>
      <bottom>
        <color indexed="63"/>
      </bottom>
    </border>
    <border>
      <left>
        <color indexed="63"/>
      </left>
      <right style="double">
        <color indexed="63"/>
      </right>
      <top style="double">
        <color indexed="63"/>
      </top>
      <bottom>
        <color indexed="63"/>
      </bottom>
    </border>
    <border>
      <left style="hair">
        <color indexed="63"/>
      </left>
      <right style="hair">
        <color indexed="63"/>
      </right>
      <top>
        <color indexed="63"/>
      </top>
      <bottom style="hair">
        <color indexed="63"/>
      </bottom>
    </border>
    <border>
      <left style="hair">
        <color indexed="63"/>
      </left>
      <right style="hair">
        <color indexed="63"/>
      </right>
      <top style="hair">
        <color indexed="63"/>
      </top>
      <bottom style="hair">
        <color indexed="63"/>
      </bottom>
    </border>
    <border>
      <left>
        <color indexed="63"/>
      </left>
      <right style="hair">
        <color indexed="63"/>
      </right>
      <top style="hair">
        <color indexed="63"/>
      </top>
      <bottom style="hair">
        <color indexed="63"/>
      </bottom>
    </border>
    <border>
      <left style="hair">
        <color indexed="63"/>
      </left>
      <right style="hair">
        <color indexed="63"/>
      </right>
      <top>
        <color indexed="63"/>
      </top>
      <bottom>
        <color indexed="63"/>
      </bottom>
    </border>
    <border>
      <left>
        <color indexed="63"/>
      </left>
      <right style="hair">
        <color indexed="63"/>
      </right>
      <top>
        <color indexed="63"/>
      </top>
      <bottom>
        <color indexed="63"/>
      </bottom>
    </border>
    <border>
      <left style="hair">
        <color indexed="63"/>
      </left>
      <right>
        <color indexed="63"/>
      </right>
      <top style="thin">
        <color indexed="63"/>
      </top>
      <bottom style="thin">
        <color indexed="63"/>
      </bottom>
    </border>
    <border>
      <left>
        <color indexed="63"/>
      </left>
      <right style="double">
        <color indexed="63"/>
      </right>
      <top style="thin">
        <color indexed="63"/>
      </top>
      <bottom style="thin">
        <color indexed="63"/>
      </bottom>
    </border>
    <border>
      <left style="thin">
        <color indexed="63"/>
      </left>
      <right style="hair">
        <color indexed="63"/>
      </right>
      <top>
        <color indexed="63"/>
      </top>
      <bottom>
        <color indexed="63"/>
      </bottom>
    </border>
    <border>
      <left style="hair">
        <color indexed="63"/>
      </left>
      <right>
        <color indexed="63"/>
      </right>
      <top style="hair">
        <color indexed="63"/>
      </top>
      <bottom style="hair">
        <color indexed="63"/>
      </bottom>
    </border>
    <border>
      <left style="double">
        <color indexed="63"/>
      </left>
      <right>
        <color indexed="63"/>
      </right>
      <top style="thin">
        <color indexed="63"/>
      </top>
      <bottom style="thin">
        <color indexed="63"/>
      </bottom>
    </border>
    <border>
      <left>
        <color indexed="63"/>
      </left>
      <right style="hair">
        <color indexed="63"/>
      </right>
      <top style="thin">
        <color indexed="63"/>
      </top>
      <bottom style="thin">
        <color indexed="63"/>
      </bottom>
    </border>
    <border>
      <left style="double">
        <color indexed="63"/>
      </left>
      <right style="thin">
        <color indexed="63"/>
      </right>
      <top style="thin">
        <color indexed="63"/>
      </top>
      <bottom>
        <color indexed="63"/>
      </bottom>
    </border>
    <border>
      <left style="medium">
        <color indexed="63"/>
      </left>
      <right style="medium">
        <color indexed="63"/>
      </right>
      <top style="medium">
        <color indexed="63"/>
      </top>
      <bottom style="thin">
        <color indexed="63"/>
      </bottom>
    </border>
    <border>
      <left style="medium">
        <color indexed="63"/>
      </left>
      <right style="medium">
        <color indexed="63"/>
      </right>
      <top style="thin">
        <color indexed="63"/>
      </top>
      <bottom style="thin">
        <color indexed="63"/>
      </bottom>
    </border>
    <border>
      <left style="medium">
        <color indexed="63"/>
      </left>
      <right style="medium">
        <color indexed="63"/>
      </right>
      <top style="thin">
        <color indexed="63"/>
      </top>
      <bottom style="mediu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42" fillId="0" borderId="0" applyNumberFormat="0" applyFill="0" applyBorder="0" applyAlignment="0" applyProtection="0"/>
  </cellStyleXfs>
  <cellXfs count="746">
    <xf numFmtId="164" fontId="0" fillId="0" borderId="0" xfId="0" applyAlignment="1">
      <alignment/>
    </xf>
    <xf numFmtId="164" fontId="0" fillId="2" borderId="0" xfId="0" applyFill="1" applyAlignment="1">
      <alignment horizontal="left" vertical="center"/>
    </xf>
    <xf numFmtId="164" fontId="2" fillId="2" borderId="0" xfId="0" applyFont="1" applyFill="1" applyAlignment="1">
      <alignment horizontal="left" vertical="center"/>
    </xf>
    <xf numFmtId="164" fontId="3" fillId="2" borderId="1" xfId="0" applyFont="1" applyFill="1" applyBorder="1" applyAlignment="1">
      <alignment horizontal="left" vertical="center" wrapText="1"/>
    </xf>
    <xf numFmtId="164" fontId="4" fillId="2" borderId="1" xfId="0" applyFont="1" applyFill="1" applyBorder="1" applyAlignment="1">
      <alignment horizontal="left" vertical="center" wrapText="1"/>
    </xf>
    <xf numFmtId="164" fontId="5" fillId="2" borderId="1" xfId="0" applyFont="1" applyFill="1" applyBorder="1" applyAlignment="1">
      <alignment horizontal="left" vertical="center" wrapText="1"/>
    </xf>
    <xf numFmtId="164" fontId="6" fillId="2" borderId="1" xfId="0" applyFont="1" applyFill="1" applyBorder="1" applyAlignment="1">
      <alignment horizontal="left" vertical="center" wrapText="1"/>
    </xf>
    <xf numFmtId="164" fontId="7" fillId="3" borderId="2" xfId="0" applyFont="1" applyFill="1" applyBorder="1" applyAlignment="1">
      <alignment horizontal="left" vertical="center"/>
    </xf>
    <xf numFmtId="164" fontId="8" fillId="3" borderId="3" xfId="0" applyFont="1" applyFill="1" applyBorder="1" applyAlignment="1">
      <alignment horizontal="left" vertical="center"/>
    </xf>
    <xf numFmtId="164" fontId="8" fillId="3" borderId="4" xfId="0" applyFont="1" applyFill="1" applyBorder="1" applyAlignment="1">
      <alignment horizontal="left" vertical="center"/>
    </xf>
    <xf numFmtId="164" fontId="5" fillId="2" borderId="2" xfId="0" applyFont="1" applyFill="1" applyBorder="1" applyAlignment="1">
      <alignment horizontal="left" vertical="center" wrapText="1"/>
    </xf>
    <xf numFmtId="164" fontId="6" fillId="2" borderId="5" xfId="0" applyFont="1" applyFill="1" applyBorder="1" applyAlignment="1">
      <alignment horizontal="left" vertical="center" wrapText="1"/>
    </xf>
    <xf numFmtId="164" fontId="6" fillId="2" borderId="4" xfId="0" applyFont="1" applyFill="1" applyBorder="1" applyAlignment="1">
      <alignment horizontal="left" vertical="center" wrapText="1"/>
    </xf>
    <xf numFmtId="164" fontId="9" fillId="4" borderId="1" xfId="0" applyFont="1" applyFill="1" applyBorder="1" applyAlignment="1">
      <alignment horizontal="left" vertical="center"/>
    </xf>
    <xf numFmtId="165" fontId="9" fillId="4" borderId="1" xfId="0" applyNumberFormat="1" applyFont="1" applyFill="1" applyBorder="1" applyAlignment="1">
      <alignment horizontal="left" vertical="center"/>
    </xf>
    <xf numFmtId="164" fontId="10" fillId="4" borderId="1" xfId="0" applyFont="1" applyFill="1" applyBorder="1" applyAlignment="1">
      <alignment horizontal="left" vertical="center"/>
    </xf>
    <xf numFmtId="164" fontId="6" fillId="2" borderId="6" xfId="0" applyFont="1" applyFill="1" applyBorder="1" applyAlignment="1">
      <alignment horizontal="left" vertical="center" wrapText="1"/>
    </xf>
    <xf numFmtId="164" fontId="6" fillId="2" borderId="7" xfId="0" applyFont="1" applyFill="1" applyBorder="1" applyAlignment="1">
      <alignment horizontal="left" vertical="center" wrapText="1"/>
    </xf>
    <xf numFmtId="164" fontId="6" fillId="2" borderId="8" xfId="0" applyFont="1" applyFill="1" applyBorder="1" applyAlignment="1">
      <alignment horizontal="left" vertical="center" wrapText="1"/>
    </xf>
    <xf numFmtId="164" fontId="6" fillId="2" borderId="9" xfId="0" applyFont="1" applyFill="1" applyBorder="1" applyAlignment="1">
      <alignment horizontal="left" vertical="center" wrapText="1"/>
    </xf>
    <xf numFmtId="164" fontId="6" fillId="2" borderId="10" xfId="0" applyFont="1" applyFill="1" applyBorder="1" applyAlignment="1">
      <alignment horizontal="left" vertical="center" wrapText="1"/>
    </xf>
    <xf numFmtId="164" fontId="6" fillId="2" borderId="0" xfId="0" applyFont="1" applyFill="1" applyBorder="1" applyAlignment="1">
      <alignment horizontal="left" vertical="center" wrapText="1"/>
    </xf>
    <xf numFmtId="164" fontId="5" fillId="2" borderId="6" xfId="0" applyFont="1" applyFill="1" applyBorder="1" applyAlignment="1">
      <alignment horizontal="left" vertical="center" wrapText="1"/>
    </xf>
    <xf numFmtId="164" fontId="6" fillId="2" borderId="11" xfId="0" applyFont="1" applyFill="1" applyBorder="1" applyAlignment="1">
      <alignment horizontal="left" vertical="center" wrapText="1"/>
    </xf>
    <xf numFmtId="164" fontId="5" fillId="2" borderId="12" xfId="0" applyFont="1" applyFill="1" applyBorder="1" applyAlignment="1">
      <alignment horizontal="left" vertical="center" wrapText="1"/>
    </xf>
    <xf numFmtId="164" fontId="12" fillId="5" borderId="13" xfId="0" applyFont="1" applyFill="1" applyBorder="1" applyAlignment="1" applyProtection="1">
      <alignment horizontal="center" vertical="center" wrapText="1"/>
      <protection locked="0"/>
    </xf>
    <xf numFmtId="164" fontId="6" fillId="2" borderId="14" xfId="0" applyFont="1" applyFill="1" applyBorder="1" applyAlignment="1">
      <alignment horizontal="left" vertical="center" wrapText="1"/>
    </xf>
    <xf numFmtId="164" fontId="13" fillId="6" borderId="0" xfId="0" applyFont="1" applyFill="1" applyBorder="1" applyAlignment="1">
      <alignment horizontal="left" vertical="center"/>
    </xf>
    <xf numFmtId="164" fontId="13" fillId="2" borderId="0" xfId="0" applyFont="1" applyFill="1" applyAlignment="1">
      <alignment horizontal="left" vertical="center"/>
    </xf>
    <xf numFmtId="164" fontId="0" fillId="6" borderId="0" xfId="0" applyFill="1" applyAlignment="1">
      <alignment horizontal="left" vertical="center"/>
    </xf>
    <xf numFmtId="164" fontId="14" fillId="6" borderId="0" xfId="0" applyFont="1" applyFill="1" applyBorder="1" applyAlignment="1">
      <alignment horizontal="left" vertical="center" wrapText="1"/>
    </xf>
    <xf numFmtId="164" fontId="14" fillId="2" borderId="0" xfId="0" applyFont="1" applyFill="1" applyAlignment="1">
      <alignment horizontal="left" vertical="center" wrapText="1"/>
    </xf>
    <xf numFmtId="164" fontId="16" fillId="6" borderId="0" xfId="0" applyFont="1" applyFill="1" applyAlignment="1">
      <alignment horizontal="left" vertical="center"/>
    </xf>
    <xf numFmtId="164" fontId="0" fillId="6" borderId="0" xfId="0" applyFont="1" applyFill="1" applyBorder="1" applyAlignment="1">
      <alignment horizontal="left" vertical="center" wrapText="1"/>
    </xf>
    <xf numFmtId="164" fontId="0" fillId="2" borderId="0" xfId="0" applyFill="1" applyAlignment="1">
      <alignment horizontal="left" vertical="center" wrapText="1"/>
    </xf>
    <xf numFmtId="164" fontId="17" fillId="7" borderId="0" xfId="0" applyFont="1" applyFill="1" applyAlignment="1">
      <alignment vertical="center"/>
    </xf>
    <xf numFmtId="164" fontId="17" fillId="7" borderId="0" xfId="0" applyFont="1" applyFill="1" applyAlignment="1">
      <alignment horizontal="left" vertical="center" indent="10"/>
    </xf>
    <xf numFmtId="164" fontId="18" fillId="7" borderId="0" xfId="0" applyFont="1" applyFill="1" applyAlignment="1">
      <alignment vertical="center"/>
    </xf>
    <xf numFmtId="164" fontId="18" fillId="7" borderId="0" xfId="0" applyFont="1" applyFill="1" applyAlignment="1" applyProtection="1">
      <alignment vertical="center"/>
      <protection locked="0"/>
    </xf>
    <xf numFmtId="164" fontId="19" fillId="8" borderId="0" xfId="0" applyFont="1" applyFill="1" applyAlignment="1">
      <alignment vertical="center"/>
    </xf>
    <xf numFmtId="164" fontId="19" fillId="8" borderId="0" xfId="0" applyFont="1" applyFill="1" applyAlignment="1">
      <alignment horizontal="right" vertical="center"/>
    </xf>
    <xf numFmtId="164" fontId="18" fillId="8" borderId="0" xfId="0" applyFont="1" applyFill="1" applyAlignment="1">
      <alignment vertical="center"/>
    </xf>
    <xf numFmtId="164" fontId="18" fillId="9" borderId="0" xfId="0" applyFont="1" applyFill="1" applyAlignment="1" applyProtection="1">
      <alignment vertical="center"/>
      <protection locked="0"/>
    </xf>
    <xf numFmtId="164" fontId="20" fillId="10" borderId="15" xfId="0" applyFont="1" applyFill="1" applyBorder="1" applyAlignment="1">
      <alignment horizontal="center" vertical="center"/>
    </xf>
    <xf numFmtId="164" fontId="4" fillId="8" borderId="0" xfId="0" applyFont="1" applyFill="1" applyAlignment="1">
      <alignment vertical="center"/>
    </xf>
    <xf numFmtId="164" fontId="21" fillId="11" borderId="5" xfId="0" applyFont="1" applyFill="1" applyBorder="1" applyAlignment="1">
      <alignment horizontal="center" vertical="center"/>
    </xf>
    <xf numFmtId="164" fontId="22" fillId="2" borderId="16" xfId="0" applyFont="1" applyFill="1" applyBorder="1" applyAlignment="1">
      <alignment vertical="center"/>
    </xf>
    <xf numFmtId="164" fontId="4" fillId="12" borderId="0" xfId="0" applyFont="1" applyFill="1" applyAlignment="1">
      <alignment horizontal="right" vertical="center"/>
    </xf>
    <xf numFmtId="164" fontId="4" fillId="6" borderId="7" xfId="0" applyFont="1" applyFill="1" applyBorder="1" applyAlignment="1" applyProtection="1">
      <alignment horizontal="left" vertical="center"/>
      <protection locked="0"/>
    </xf>
    <xf numFmtId="164" fontId="4" fillId="2" borderId="7" xfId="0" applyFont="1" applyFill="1" applyBorder="1" applyAlignment="1">
      <alignment horizontal="left" vertical="center" wrapText="1"/>
    </xf>
    <xf numFmtId="164" fontId="23" fillId="7" borderId="0" xfId="0" applyFont="1" applyFill="1" applyAlignment="1" applyProtection="1">
      <alignment horizontal="left" vertical="center"/>
      <protection locked="0"/>
    </xf>
    <xf numFmtId="164" fontId="24" fillId="2" borderId="7" xfId="0" applyFont="1" applyFill="1" applyBorder="1" applyAlignment="1">
      <alignment vertical="center"/>
    </xf>
    <xf numFmtId="164" fontId="4" fillId="2" borderId="7" xfId="0" applyFont="1" applyFill="1" applyBorder="1" applyAlignment="1">
      <alignment horizontal="left" vertical="center"/>
    </xf>
    <xf numFmtId="164" fontId="4" fillId="2" borderId="7" xfId="0" applyFont="1" applyFill="1" applyBorder="1" applyAlignment="1">
      <alignment vertical="center" wrapText="1"/>
    </xf>
    <xf numFmtId="164" fontId="0" fillId="0" borderId="17" xfId="0" applyBorder="1" applyAlignment="1">
      <alignment/>
    </xf>
    <xf numFmtId="164" fontId="4" fillId="2" borderId="18" xfId="0" applyFont="1" applyFill="1" applyBorder="1" applyAlignment="1">
      <alignment horizontal="center" vertical="center" wrapText="1"/>
    </xf>
    <xf numFmtId="164" fontId="4" fillId="2" borderId="19" xfId="0" applyFont="1" applyFill="1" applyBorder="1" applyAlignment="1">
      <alignment vertical="center" wrapText="1"/>
    </xf>
    <xf numFmtId="164" fontId="4" fillId="6" borderId="7" xfId="0" applyFont="1" applyFill="1" applyBorder="1" applyAlignment="1" applyProtection="1">
      <alignment vertical="center"/>
      <protection locked="0"/>
    </xf>
    <xf numFmtId="164" fontId="4" fillId="2" borderId="7" xfId="0" applyFont="1" applyFill="1" applyBorder="1" applyAlignment="1">
      <alignment vertical="center"/>
    </xf>
    <xf numFmtId="164" fontId="4" fillId="2" borderId="7" xfId="0" applyFont="1" applyFill="1" applyBorder="1" applyAlignment="1">
      <alignment horizontal="center" vertical="center"/>
    </xf>
    <xf numFmtId="164" fontId="22" fillId="7" borderId="0" xfId="0" applyFont="1" applyFill="1" applyAlignment="1" applyProtection="1">
      <alignment horizontal="center" vertical="center"/>
      <protection locked="0"/>
    </xf>
    <xf numFmtId="164" fontId="4" fillId="2" borderId="15" xfId="0" applyFont="1" applyFill="1" applyBorder="1" applyAlignment="1">
      <alignment vertical="center"/>
    </xf>
    <xf numFmtId="164" fontId="4" fillId="2" borderId="20" xfId="0" applyFont="1" applyFill="1" applyBorder="1" applyAlignment="1">
      <alignment vertical="center"/>
    </xf>
    <xf numFmtId="166" fontId="25" fillId="13" borderId="16" xfId="0" applyNumberFormat="1" applyFont="1" applyFill="1" applyBorder="1" applyAlignment="1">
      <alignment horizontal="left" vertical="center" wrapText="1"/>
    </xf>
    <xf numFmtId="164" fontId="4" fillId="2" borderId="0" xfId="0" applyFont="1" applyFill="1" applyBorder="1" applyAlignment="1">
      <alignment vertical="center"/>
    </xf>
    <xf numFmtId="164" fontId="26" fillId="2" borderId="7" xfId="0" applyFont="1" applyFill="1" applyBorder="1" applyAlignment="1">
      <alignment horizontal="center" vertical="center" wrapText="1"/>
    </xf>
    <xf numFmtId="164" fontId="4" fillId="14" borderId="16" xfId="0" applyFont="1" applyFill="1" applyBorder="1" applyAlignment="1">
      <alignment vertical="center" wrapText="1"/>
    </xf>
    <xf numFmtId="164" fontId="18" fillId="2" borderId="16" xfId="0" applyFont="1" applyFill="1" applyBorder="1" applyAlignment="1">
      <alignment vertical="center"/>
    </xf>
    <xf numFmtId="164" fontId="4" fillId="2" borderId="21" xfId="0" applyFont="1" applyFill="1" applyBorder="1" applyAlignment="1">
      <alignment horizontal="left" vertical="center" indent="1"/>
    </xf>
    <xf numFmtId="164" fontId="4" fillId="2" borderId="22" xfId="0" applyFont="1" applyFill="1" applyBorder="1" applyAlignment="1">
      <alignment vertical="center"/>
    </xf>
    <xf numFmtId="164" fontId="4" fillId="2" borderId="23" xfId="0" applyFont="1" applyFill="1" applyBorder="1" applyAlignment="1">
      <alignment vertical="center"/>
    </xf>
    <xf numFmtId="164" fontId="4" fillId="2" borderId="21" xfId="0" applyFont="1" applyFill="1" applyBorder="1" applyAlignment="1">
      <alignment vertical="center"/>
    </xf>
    <xf numFmtId="164" fontId="27" fillId="2" borderId="18" xfId="0" applyFont="1" applyFill="1" applyBorder="1" applyAlignment="1">
      <alignment horizontal="center" vertical="center" wrapText="1"/>
    </xf>
    <xf numFmtId="164" fontId="4" fillId="2" borderId="18" xfId="0" applyFont="1" applyFill="1" applyBorder="1" applyAlignment="1">
      <alignment vertical="center"/>
    </xf>
    <xf numFmtId="164" fontId="18" fillId="2" borderId="19" xfId="0" applyFont="1" applyFill="1" applyBorder="1" applyAlignment="1">
      <alignment vertical="center"/>
    </xf>
    <xf numFmtId="164" fontId="28" fillId="7" borderId="0" xfId="0" applyFont="1" applyFill="1" applyAlignment="1" applyProtection="1">
      <alignment horizontal="center" vertical="center"/>
      <protection locked="0"/>
    </xf>
    <xf numFmtId="164" fontId="4" fillId="2" borderId="10" xfId="0" applyFont="1" applyFill="1" applyBorder="1" applyAlignment="1">
      <alignment horizontal="left" vertical="center" indent="1"/>
    </xf>
    <xf numFmtId="164" fontId="29" fillId="2" borderId="7" xfId="0" applyFont="1" applyFill="1" applyBorder="1" applyAlignment="1">
      <alignment horizontal="left" vertical="center" indent="1"/>
    </xf>
    <xf numFmtId="164" fontId="29" fillId="2" borderId="17" xfId="0" applyFont="1" applyFill="1" applyBorder="1" applyAlignment="1">
      <alignment vertical="center"/>
    </xf>
    <xf numFmtId="164" fontId="29" fillId="2" borderId="19" xfId="0" applyFont="1" applyFill="1" applyBorder="1" applyAlignment="1">
      <alignment vertical="center"/>
    </xf>
    <xf numFmtId="164" fontId="4" fillId="2" borderId="24" xfId="0" applyFont="1" applyFill="1" applyBorder="1" applyAlignment="1">
      <alignment horizontal="left" vertical="center"/>
    </xf>
    <xf numFmtId="164" fontId="4" fillId="2" borderId="25" xfId="0" applyFont="1" applyFill="1" applyBorder="1" applyAlignment="1">
      <alignment vertical="center"/>
    </xf>
    <xf numFmtId="164" fontId="30" fillId="2" borderId="7" xfId="0" applyFont="1" applyFill="1" applyBorder="1" applyAlignment="1">
      <alignment horizontal="right" vertical="center"/>
    </xf>
    <xf numFmtId="164" fontId="18" fillId="2" borderId="26" xfId="0" applyFont="1" applyFill="1" applyBorder="1" applyAlignment="1">
      <alignment vertical="center"/>
    </xf>
    <xf numFmtId="164" fontId="31" fillId="7" borderId="0" xfId="0" applyFont="1" applyFill="1" applyAlignment="1" applyProtection="1">
      <alignment horizontal="center" vertical="center"/>
      <protection locked="0"/>
    </xf>
    <xf numFmtId="164" fontId="4" fillId="2" borderId="27" xfId="0" applyFont="1" applyFill="1" applyBorder="1" applyAlignment="1">
      <alignment vertical="center"/>
    </xf>
    <xf numFmtId="164" fontId="4" fillId="6" borderId="7" xfId="0" applyFont="1" applyFill="1" applyBorder="1" applyAlignment="1" applyProtection="1">
      <alignment horizontal="center" vertical="center"/>
      <protection locked="0"/>
    </xf>
    <xf numFmtId="164" fontId="4" fillId="2" borderId="19" xfId="0" applyFont="1" applyFill="1" applyBorder="1" applyAlignment="1">
      <alignment vertical="center"/>
    </xf>
    <xf numFmtId="164" fontId="4" fillId="2" borderId="24" xfId="0" applyFont="1" applyFill="1" applyBorder="1" applyAlignment="1">
      <alignment horizontal="center" vertical="center" wrapText="1"/>
    </xf>
    <xf numFmtId="164" fontId="4" fillId="14" borderId="7" xfId="0" applyFont="1" applyFill="1" applyBorder="1" applyAlignment="1">
      <alignment horizontal="center" vertical="center"/>
    </xf>
    <xf numFmtId="164" fontId="4" fillId="2" borderId="0" xfId="0" applyFont="1" applyFill="1" applyAlignment="1">
      <alignment vertical="center"/>
    </xf>
    <xf numFmtId="164" fontId="30" fillId="15" borderId="20" xfId="0" applyFont="1" applyFill="1" applyBorder="1" applyAlignment="1">
      <alignment horizontal="center" vertical="center" wrapText="1"/>
    </xf>
    <xf numFmtId="164" fontId="4" fillId="15" borderId="7" xfId="0" applyFont="1" applyFill="1" applyBorder="1" applyAlignment="1">
      <alignment horizontal="left" vertical="center" wrapText="1"/>
    </xf>
    <xf numFmtId="164" fontId="4" fillId="15" borderId="7" xfId="0" applyFont="1" applyFill="1" applyBorder="1" applyAlignment="1" applyProtection="1">
      <alignment horizontal="center" vertical="center"/>
      <protection locked="0"/>
    </xf>
    <xf numFmtId="164" fontId="30" fillId="15" borderId="16" xfId="0" applyFont="1" applyFill="1" applyBorder="1" applyAlignment="1">
      <alignment horizontal="center" vertical="center" wrapText="1"/>
    </xf>
    <xf numFmtId="164" fontId="4" fillId="15" borderId="16" xfId="0" applyFont="1" applyFill="1" applyBorder="1" applyAlignment="1" applyProtection="1">
      <alignment horizontal="center" vertical="center"/>
      <protection locked="0"/>
    </xf>
    <xf numFmtId="164" fontId="32" fillId="10" borderId="16" xfId="0" applyFont="1" applyFill="1" applyBorder="1" applyAlignment="1">
      <alignment horizontal="center" vertical="center" wrapText="1"/>
    </xf>
    <xf numFmtId="164" fontId="33" fillId="10" borderId="16" xfId="0" applyFont="1" applyFill="1" applyBorder="1" applyAlignment="1" applyProtection="1">
      <alignment horizontal="center" vertical="center" textRotation="255"/>
      <protection/>
    </xf>
    <xf numFmtId="164" fontId="34" fillId="10" borderId="7" xfId="0" applyFont="1" applyFill="1" applyBorder="1" applyAlignment="1" applyProtection="1">
      <alignment horizontal="center" vertical="center"/>
      <protection/>
    </xf>
    <xf numFmtId="164" fontId="35" fillId="6" borderId="7" xfId="0" applyFont="1" applyFill="1" applyBorder="1" applyAlignment="1" applyProtection="1">
      <alignment horizontal="center" vertical="center" wrapText="1"/>
      <protection locked="0"/>
    </xf>
    <xf numFmtId="164" fontId="4" fillId="15" borderId="16" xfId="0" applyFont="1" applyFill="1" applyBorder="1" applyAlignment="1">
      <alignment horizontal="left" vertical="center" wrapText="1"/>
    </xf>
    <xf numFmtId="164" fontId="17" fillId="10" borderId="16" xfId="0" applyFont="1" applyFill="1" applyBorder="1" applyAlignment="1" applyProtection="1">
      <alignment horizontal="center" vertical="center"/>
      <protection/>
    </xf>
    <xf numFmtId="164" fontId="35" fillId="6" borderId="16" xfId="0" applyFont="1" applyFill="1" applyBorder="1" applyAlignment="1" applyProtection="1">
      <alignment horizontal="center" vertical="center" wrapText="1"/>
      <protection locked="0"/>
    </xf>
    <xf numFmtId="164" fontId="36" fillId="9" borderId="7" xfId="0" applyFont="1" applyFill="1" applyBorder="1" applyAlignment="1">
      <alignment horizontal="center" vertical="center" wrapText="1"/>
    </xf>
    <xf numFmtId="164" fontId="38" fillId="2" borderId="27" xfId="0" applyFont="1" applyFill="1" applyBorder="1" applyAlignment="1">
      <alignment vertical="center"/>
    </xf>
    <xf numFmtId="164" fontId="4" fillId="2" borderId="0" xfId="0" applyFont="1" applyFill="1" applyBorder="1" applyAlignment="1">
      <alignment horizontal="left" vertical="center"/>
    </xf>
    <xf numFmtId="164" fontId="4" fillId="2" borderId="28" xfId="0" applyFont="1" applyFill="1" applyBorder="1" applyAlignment="1">
      <alignment horizontal="left" vertical="center" wrapText="1"/>
    </xf>
    <xf numFmtId="167" fontId="4" fillId="6" borderId="27" xfId="0" applyNumberFormat="1" applyFont="1" applyFill="1" applyBorder="1" applyAlignment="1" applyProtection="1">
      <alignment horizontal="center" vertical="center"/>
      <protection locked="0"/>
    </xf>
    <xf numFmtId="164" fontId="24" fillId="2" borderId="27" xfId="0" applyFont="1" applyFill="1" applyBorder="1" applyAlignment="1">
      <alignment horizontal="left" vertical="center"/>
    </xf>
    <xf numFmtId="164" fontId="4" fillId="6" borderId="27" xfId="0" applyFont="1" applyFill="1" applyBorder="1" applyAlignment="1" applyProtection="1">
      <alignment horizontal="left" vertical="center"/>
      <protection locked="0"/>
    </xf>
    <xf numFmtId="164" fontId="4" fillId="2" borderId="26" xfId="0" applyFont="1" applyFill="1" applyBorder="1" applyAlignment="1">
      <alignment vertical="center"/>
    </xf>
    <xf numFmtId="164" fontId="27" fillId="2" borderId="29" xfId="0" applyFont="1" applyFill="1" applyBorder="1" applyAlignment="1">
      <alignment horizontal="center" vertical="center"/>
    </xf>
    <xf numFmtId="164" fontId="39" fillId="6" borderId="7" xfId="0" applyFont="1" applyFill="1" applyBorder="1" applyAlignment="1" applyProtection="1">
      <alignment horizontal="left" vertical="center"/>
      <protection locked="0"/>
    </xf>
    <xf numFmtId="164" fontId="27" fillId="2" borderId="7" xfId="0" applyFont="1" applyFill="1" applyBorder="1" applyAlignment="1">
      <alignment horizontal="center" vertical="center" wrapText="1"/>
    </xf>
    <xf numFmtId="164" fontId="27" fillId="2" borderId="7" xfId="0" applyFont="1" applyFill="1" applyBorder="1" applyAlignment="1">
      <alignment horizontal="center" vertical="center"/>
    </xf>
    <xf numFmtId="164" fontId="4" fillId="6" borderId="16" xfId="0" applyFont="1" applyFill="1" applyBorder="1" applyAlignment="1" applyProtection="1">
      <alignment vertical="center"/>
      <protection locked="0"/>
    </xf>
    <xf numFmtId="164" fontId="4" fillId="6" borderId="7" xfId="0" applyFont="1" applyFill="1" applyBorder="1" applyAlignment="1" applyProtection="1">
      <alignment horizontal="right" vertical="center"/>
      <protection locked="0"/>
    </xf>
    <xf numFmtId="164" fontId="27" fillId="2" borderId="19" xfId="0" applyFont="1" applyFill="1" applyBorder="1" applyAlignment="1">
      <alignment horizontal="center" vertical="top" wrapText="1"/>
    </xf>
    <xf numFmtId="164" fontId="18" fillId="6" borderId="7" xfId="0" applyFont="1" applyFill="1" applyBorder="1" applyAlignment="1" applyProtection="1">
      <alignment vertical="center"/>
      <protection locked="0"/>
    </xf>
    <xf numFmtId="164" fontId="18" fillId="7" borderId="20" xfId="0" applyFont="1" applyFill="1" applyBorder="1" applyAlignment="1" applyProtection="1">
      <alignment vertical="center"/>
      <protection locked="0"/>
    </xf>
    <xf numFmtId="164" fontId="18" fillId="7" borderId="30" xfId="0" applyFont="1" applyFill="1" applyBorder="1" applyAlignment="1" applyProtection="1">
      <alignment vertical="center"/>
      <protection locked="0"/>
    </xf>
    <xf numFmtId="164" fontId="40" fillId="10" borderId="7" xfId="0" applyFont="1" applyFill="1" applyBorder="1" applyAlignment="1">
      <alignment horizontal="center" vertical="center"/>
    </xf>
    <xf numFmtId="164" fontId="17" fillId="10" borderId="7" xfId="0" applyFont="1" applyFill="1" applyBorder="1" applyAlignment="1" applyProtection="1">
      <alignment horizontal="center" vertical="center"/>
      <protection locked="0"/>
    </xf>
    <xf numFmtId="164" fontId="40" fillId="10" borderId="18" xfId="0" applyFont="1" applyFill="1" applyBorder="1" applyAlignment="1">
      <alignment horizontal="center" vertical="center"/>
    </xf>
    <xf numFmtId="164" fontId="17" fillId="10" borderId="7" xfId="0" applyFont="1" applyFill="1" applyBorder="1" applyAlignment="1" applyProtection="1">
      <alignment vertical="center"/>
      <protection locked="0"/>
    </xf>
    <xf numFmtId="164" fontId="41" fillId="13" borderId="7" xfId="20" applyNumberFormat="1" applyFont="1" applyFill="1" applyBorder="1" applyAlignment="1" applyProtection="1">
      <alignment horizontal="center" vertical="center" wrapText="1"/>
      <protection locked="0"/>
    </xf>
    <xf numFmtId="164" fontId="18" fillId="7" borderId="13" xfId="0" applyFont="1" applyFill="1" applyBorder="1" applyAlignment="1" applyProtection="1">
      <alignment vertical="center"/>
      <protection locked="0"/>
    </xf>
    <xf numFmtId="164" fontId="18" fillId="7" borderId="31" xfId="0" applyFont="1" applyFill="1" applyBorder="1" applyAlignment="1" applyProtection="1">
      <alignment vertical="center"/>
      <protection locked="0"/>
    </xf>
    <xf numFmtId="164" fontId="4" fillId="2" borderId="7" xfId="0" applyFont="1" applyFill="1" applyBorder="1" applyAlignment="1">
      <alignment horizontal="right" vertical="center"/>
    </xf>
    <xf numFmtId="164" fontId="19" fillId="15" borderId="7" xfId="0" applyFont="1" applyFill="1" applyBorder="1" applyAlignment="1">
      <alignment horizontal="left" vertical="center"/>
    </xf>
    <xf numFmtId="164" fontId="4" fillId="2" borderId="7" xfId="0" applyFont="1" applyFill="1" applyBorder="1" applyAlignment="1">
      <alignment horizontal="right" vertical="center" indent="1"/>
    </xf>
    <xf numFmtId="164" fontId="43" fillId="5" borderId="7" xfId="0" applyFont="1" applyFill="1" applyBorder="1" applyAlignment="1">
      <alignment horizontal="center" vertical="center" textRotation="255"/>
    </xf>
    <xf numFmtId="164" fontId="44" fillId="15" borderId="7" xfId="0" applyFont="1" applyFill="1" applyBorder="1" applyAlignment="1">
      <alignment horizontal="center" vertical="center"/>
    </xf>
    <xf numFmtId="164" fontId="4" fillId="2" borderId="16" xfId="0" applyFont="1" applyFill="1" applyBorder="1" applyAlignment="1">
      <alignment vertical="center"/>
    </xf>
    <xf numFmtId="164" fontId="18" fillId="6" borderId="16" xfId="0" applyFont="1" applyFill="1" applyBorder="1" applyAlignment="1" applyProtection="1">
      <alignment vertical="center"/>
      <protection locked="0"/>
    </xf>
    <xf numFmtId="164" fontId="19" fillId="15" borderId="7" xfId="0" applyFont="1" applyFill="1" applyBorder="1" applyAlignment="1">
      <alignment horizontal="left" vertical="center" wrapText="1"/>
    </xf>
    <xf numFmtId="167" fontId="4" fillId="6" borderId="7" xfId="0" applyNumberFormat="1" applyFont="1" applyFill="1" applyBorder="1" applyAlignment="1" applyProtection="1">
      <alignment vertical="center"/>
      <protection hidden="1"/>
    </xf>
    <xf numFmtId="164" fontId="19" fillId="16" borderId="7" xfId="0" applyFont="1" applyFill="1" applyBorder="1" applyAlignment="1">
      <alignment horizontal="left" vertical="center"/>
    </xf>
    <xf numFmtId="164" fontId="22" fillId="7" borderId="0" xfId="0" applyFont="1" applyFill="1" applyAlignment="1" applyProtection="1">
      <alignment horizontal="left" vertical="center" wrapText="1"/>
      <protection locked="0"/>
    </xf>
    <xf numFmtId="164" fontId="18" fillId="7" borderId="24" xfId="0" applyFont="1" applyFill="1" applyBorder="1" applyAlignment="1" applyProtection="1">
      <alignment vertical="center"/>
      <protection locked="0"/>
    </xf>
    <xf numFmtId="164" fontId="18" fillId="7" borderId="25" xfId="0" applyFont="1" applyFill="1" applyBorder="1" applyAlignment="1" applyProtection="1">
      <alignment vertical="center"/>
      <protection locked="0"/>
    </xf>
    <xf numFmtId="164" fontId="18" fillId="7" borderId="0" xfId="0" applyFont="1" applyFill="1" applyBorder="1" applyAlignment="1" applyProtection="1">
      <alignment vertical="center"/>
      <protection locked="0"/>
    </xf>
    <xf numFmtId="164" fontId="24" fillId="6" borderId="7" xfId="0" applyFont="1" applyFill="1" applyBorder="1" applyAlignment="1" applyProtection="1">
      <alignment horizontal="center" vertical="center" wrapText="1"/>
      <protection locked="0"/>
    </xf>
    <xf numFmtId="164" fontId="45" fillId="2" borderId="7" xfId="0" applyFont="1" applyFill="1" applyBorder="1" applyAlignment="1">
      <alignment vertical="center" wrapText="1"/>
    </xf>
    <xf numFmtId="164" fontId="46" fillId="13" borderId="17" xfId="20" applyNumberFormat="1" applyFont="1" applyFill="1" applyBorder="1" applyAlignment="1" applyProtection="1">
      <alignment horizontal="center" vertical="center" wrapText="1"/>
      <protection/>
    </xf>
    <xf numFmtId="164" fontId="24" fillId="8" borderId="0" xfId="0" applyFont="1" applyFill="1" applyAlignment="1">
      <alignment horizontal="left" vertical="center" wrapText="1"/>
    </xf>
    <xf numFmtId="164" fontId="47" fillId="17" borderId="7" xfId="20" applyNumberFormat="1" applyFont="1" applyFill="1" applyBorder="1" applyAlignment="1" applyProtection="1">
      <alignment horizontal="center" vertical="center" textRotation="90" wrapText="1"/>
      <protection/>
    </xf>
    <xf numFmtId="164" fontId="0" fillId="0" borderId="32" xfId="0" applyBorder="1" applyAlignment="1">
      <alignment/>
    </xf>
    <xf numFmtId="164" fontId="0" fillId="0" borderId="30" xfId="0" applyBorder="1" applyAlignment="1">
      <alignment/>
    </xf>
    <xf numFmtId="164" fontId="44" fillId="14" borderId="20" xfId="0" applyFont="1" applyFill="1" applyBorder="1" applyAlignment="1">
      <alignment vertical="center"/>
    </xf>
    <xf numFmtId="164" fontId="4" fillId="14" borderId="32" xfId="0" applyFont="1" applyFill="1" applyBorder="1" applyAlignment="1">
      <alignment vertical="center"/>
    </xf>
    <xf numFmtId="164" fontId="22" fillId="9" borderId="0" xfId="0" applyFont="1" applyFill="1" applyAlignment="1" applyProtection="1">
      <alignment horizontal="left" vertical="center" wrapText="1"/>
      <protection locked="0"/>
    </xf>
    <xf numFmtId="164" fontId="22" fillId="7" borderId="0" xfId="0" applyFont="1" applyFill="1" applyAlignment="1">
      <alignment horizontal="left" vertical="center" wrapText="1"/>
    </xf>
    <xf numFmtId="164" fontId="22" fillId="7" borderId="0" xfId="0" applyFont="1" applyFill="1" applyBorder="1" applyAlignment="1" applyProtection="1">
      <alignment horizontal="left" vertical="center" wrapText="1"/>
      <protection locked="0"/>
    </xf>
    <xf numFmtId="164" fontId="4" fillId="8" borderId="20" xfId="0" applyFont="1" applyFill="1" applyBorder="1" applyAlignment="1">
      <alignment vertical="center"/>
    </xf>
    <xf numFmtId="164" fontId="34" fillId="18" borderId="18" xfId="0" applyFont="1" applyFill="1" applyBorder="1" applyAlignment="1">
      <alignment horizontal="center" vertical="center"/>
    </xf>
    <xf numFmtId="164" fontId="0" fillId="0" borderId="0" xfId="0" applyAlignment="1">
      <alignment/>
    </xf>
    <xf numFmtId="164" fontId="0" fillId="0" borderId="31" xfId="0" applyBorder="1" applyAlignment="1">
      <alignment/>
    </xf>
    <xf numFmtId="164" fontId="48" fillId="14" borderId="13" xfId="0" applyFont="1" applyFill="1" applyBorder="1" applyAlignment="1">
      <alignment vertical="center"/>
    </xf>
    <xf numFmtId="164" fontId="4" fillId="14" borderId="0" xfId="0" applyFont="1" applyFill="1" applyBorder="1" applyAlignment="1">
      <alignment vertical="center"/>
    </xf>
    <xf numFmtId="164" fontId="4" fillId="8" borderId="13" xfId="0" applyFont="1" applyFill="1" applyBorder="1" applyAlignment="1">
      <alignment vertical="center"/>
    </xf>
    <xf numFmtId="164" fontId="4" fillId="6" borderId="18" xfId="0" applyFont="1" applyFill="1" applyBorder="1" applyAlignment="1" applyProtection="1">
      <alignment horizontal="left" vertical="center"/>
      <protection locked="0"/>
    </xf>
    <xf numFmtId="164" fontId="49" fillId="14" borderId="28" xfId="0" applyFont="1" applyFill="1" applyBorder="1" applyAlignment="1">
      <alignment horizontal="left" vertical="center" wrapText="1"/>
    </xf>
    <xf numFmtId="164" fontId="39" fillId="2" borderId="27" xfId="0" applyFont="1" applyFill="1" applyBorder="1" applyAlignment="1">
      <alignment horizontal="left" vertical="center" wrapText="1"/>
    </xf>
    <xf numFmtId="166" fontId="22" fillId="7" borderId="0" xfId="0" applyNumberFormat="1" applyFont="1" applyFill="1" applyBorder="1" applyAlignment="1" applyProtection="1">
      <alignment horizontal="left" vertical="center"/>
      <protection locked="0"/>
    </xf>
    <xf numFmtId="164" fontId="22" fillId="7" borderId="0" xfId="0" applyFont="1" applyFill="1" applyBorder="1" applyAlignment="1" applyProtection="1">
      <alignment horizontal="center" vertical="center" wrapText="1"/>
      <protection locked="0"/>
    </xf>
    <xf numFmtId="167" fontId="22" fillId="7" borderId="0" xfId="0" applyNumberFormat="1" applyFont="1" applyFill="1" applyBorder="1" applyAlignment="1" applyProtection="1">
      <alignment horizontal="center" vertical="center" wrapText="1"/>
      <protection locked="0"/>
    </xf>
    <xf numFmtId="167" fontId="22" fillId="7" borderId="0" xfId="0" applyNumberFormat="1" applyFont="1" applyFill="1" applyBorder="1" applyAlignment="1" applyProtection="1">
      <alignment horizontal="center" vertical="center"/>
      <protection locked="0"/>
    </xf>
    <xf numFmtId="164" fontId="0" fillId="0" borderId="33" xfId="0" applyBorder="1" applyAlignment="1">
      <alignment/>
    </xf>
    <xf numFmtId="164" fontId="0" fillId="0" borderId="25" xfId="0" applyBorder="1" applyAlignment="1">
      <alignment/>
    </xf>
    <xf numFmtId="164" fontId="30" fillId="14" borderId="24" xfId="0" applyFont="1" applyFill="1" applyBorder="1" applyAlignment="1">
      <alignment vertical="center"/>
    </xf>
    <xf numFmtId="164" fontId="4" fillId="14" borderId="33" xfId="0" applyFont="1" applyFill="1" applyBorder="1" applyAlignment="1">
      <alignment vertical="center"/>
    </xf>
    <xf numFmtId="164" fontId="4" fillId="6" borderId="7" xfId="0" applyFont="1" applyFill="1" applyBorder="1" applyAlignment="1" applyProtection="1">
      <alignment horizontal="left" vertical="center" indent="1"/>
      <protection locked="0"/>
    </xf>
    <xf numFmtId="164" fontId="18" fillId="7" borderId="0" xfId="0" applyFont="1" applyFill="1" applyAlignment="1" applyProtection="1">
      <alignment horizontal="right" vertical="center"/>
      <protection locked="0"/>
    </xf>
    <xf numFmtId="164" fontId="50" fillId="5" borderId="16" xfId="20" applyNumberFormat="1" applyFont="1" applyFill="1" applyBorder="1" applyAlignment="1" applyProtection="1">
      <alignment horizontal="center"/>
      <protection/>
    </xf>
    <xf numFmtId="164" fontId="22" fillId="7" borderId="0" xfId="0" applyFont="1" applyFill="1" applyAlignment="1" applyProtection="1">
      <alignment horizontal="right" vertical="center" wrapText="1"/>
      <protection locked="0"/>
    </xf>
    <xf numFmtId="164" fontId="51" fillId="8" borderId="7" xfId="0" applyFont="1" applyFill="1" applyBorder="1" applyAlignment="1" applyProtection="1">
      <alignment horizontal="center" vertical="center" wrapText="1"/>
      <protection locked="0"/>
    </xf>
    <xf numFmtId="164" fontId="12" fillId="8" borderId="13" xfId="0" applyFont="1" applyFill="1" applyBorder="1" applyAlignment="1" applyProtection="1">
      <alignment vertical="center" wrapText="1"/>
      <protection locked="0"/>
    </xf>
    <xf numFmtId="164" fontId="12" fillId="8" borderId="0" xfId="0" applyFont="1" applyFill="1" applyBorder="1" applyAlignment="1" applyProtection="1">
      <alignment vertical="center" wrapText="1"/>
      <protection locked="0"/>
    </xf>
    <xf numFmtId="164" fontId="18" fillId="8" borderId="0" xfId="0" applyFont="1" applyFill="1" applyAlignment="1" applyProtection="1">
      <alignment horizontal="left" vertical="center" indent="10"/>
      <protection locked="0"/>
    </xf>
    <xf numFmtId="164" fontId="18" fillId="8" borderId="0" xfId="0" applyFont="1" applyFill="1" applyAlignment="1" applyProtection="1">
      <alignment vertical="center"/>
      <protection locked="0"/>
    </xf>
    <xf numFmtId="164" fontId="18" fillId="19" borderId="0" xfId="0" applyFont="1" applyFill="1" applyAlignment="1" applyProtection="1">
      <alignment vertical="center"/>
      <protection locked="0"/>
    </xf>
    <xf numFmtId="164" fontId="18" fillId="19" borderId="0" xfId="0" applyFont="1" applyFill="1" applyBorder="1" applyAlignment="1" applyProtection="1">
      <alignment vertical="center"/>
      <protection locked="0"/>
    </xf>
    <xf numFmtId="166" fontId="22" fillId="19" borderId="0" xfId="0" applyNumberFormat="1" applyFont="1" applyFill="1" applyBorder="1" applyAlignment="1" applyProtection="1">
      <alignment horizontal="left" vertical="center"/>
      <protection locked="0"/>
    </xf>
    <xf numFmtId="164" fontId="22" fillId="19" borderId="0" xfId="0" applyFont="1" applyFill="1" applyBorder="1" applyAlignment="1" applyProtection="1">
      <alignment horizontal="center" vertical="center" wrapText="1"/>
      <protection locked="0"/>
    </xf>
    <xf numFmtId="167" fontId="22" fillId="19" borderId="0" xfId="0" applyNumberFormat="1" applyFont="1" applyFill="1" applyBorder="1" applyAlignment="1" applyProtection="1">
      <alignment horizontal="center" vertical="center" wrapText="1"/>
      <protection locked="0"/>
    </xf>
    <xf numFmtId="167" fontId="22" fillId="19" borderId="0" xfId="0" applyNumberFormat="1" applyFont="1" applyFill="1" applyBorder="1" applyAlignment="1" applyProtection="1">
      <alignment horizontal="center" vertical="center"/>
      <protection locked="0"/>
    </xf>
    <xf numFmtId="164" fontId="12" fillId="7" borderId="13" xfId="0" applyFont="1" applyFill="1" applyBorder="1" applyAlignment="1" applyProtection="1">
      <alignment vertical="center" wrapText="1"/>
      <protection locked="0"/>
    </xf>
    <xf numFmtId="164" fontId="12" fillId="7" borderId="0" xfId="0" applyFont="1" applyFill="1" applyBorder="1" applyAlignment="1" applyProtection="1">
      <alignment vertical="center" wrapText="1"/>
      <protection locked="0"/>
    </xf>
    <xf numFmtId="164" fontId="18" fillId="7" borderId="0" xfId="0" applyFont="1" applyFill="1" applyAlignment="1" applyProtection="1">
      <alignment horizontal="left" vertical="center" indent="10"/>
      <protection locked="0"/>
    </xf>
    <xf numFmtId="164" fontId="22" fillId="7" borderId="1" xfId="0" applyFont="1" applyFill="1" applyBorder="1" applyAlignment="1" applyProtection="1">
      <alignment horizontal="left" vertical="center" wrapText="1"/>
      <protection locked="0"/>
    </xf>
    <xf numFmtId="164" fontId="18" fillId="7" borderId="1" xfId="0" applyFont="1" applyFill="1" applyBorder="1" applyAlignment="1" applyProtection="1">
      <alignment horizontal="center" vertical="center"/>
      <protection locked="0"/>
    </xf>
    <xf numFmtId="164" fontId="18" fillId="7" borderId="1" xfId="0" applyFont="1" applyFill="1" applyBorder="1" applyAlignment="1" applyProtection="1">
      <alignment vertical="center"/>
      <protection locked="0"/>
    </xf>
    <xf numFmtId="164" fontId="18" fillId="7" borderId="1" xfId="0" applyFont="1" applyFill="1" applyBorder="1" applyAlignment="1" applyProtection="1">
      <alignment horizontal="right" vertical="center"/>
      <protection locked="0"/>
    </xf>
    <xf numFmtId="164" fontId="31" fillId="7" borderId="0" xfId="0" applyFont="1" applyFill="1" applyBorder="1" applyAlignment="1" applyProtection="1">
      <alignment horizontal="center" vertical="center"/>
      <protection locked="0"/>
    </xf>
    <xf numFmtId="164" fontId="31" fillId="7" borderId="0" xfId="0" applyFont="1" applyFill="1" applyBorder="1" applyAlignment="1" applyProtection="1">
      <alignment horizontal="left" vertical="center"/>
      <protection locked="0"/>
    </xf>
    <xf numFmtId="164" fontId="18" fillId="7" borderId="0" xfId="0" applyFont="1" applyFill="1" applyBorder="1" applyAlignment="1" applyProtection="1">
      <alignment horizontal="center" vertical="center"/>
      <protection locked="0"/>
    </xf>
    <xf numFmtId="164" fontId="18" fillId="7" borderId="0" xfId="0" applyFont="1" applyFill="1" applyBorder="1" applyAlignment="1" applyProtection="1">
      <alignment horizontal="right" vertical="center"/>
      <protection locked="0"/>
    </xf>
    <xf numFmtId="164" fontId="18" fillId="7" borderId="32" xfId="0" applyFont="1" applyFill="1" applyBorder="1" applyAlignment="1" applyProtection="1">
      <alignment vertical="center"/>
      <protection locked="0"/>
    </xf>
    <xf numFmtId="164" fontId="18" fillId="7" borderId="1" xfId="0" applyFont="1" applyFill="1" applyBorder="1" applyAlignment="1" applyProtection="1">
      <alignment horizontal="left" vertical="center"/>
      <protection locked="0"/>
    </xf>
    <xf numFmtId="164" fontId="18" fillId="7" borderId="33" xfId="0" applyFont="1" applyFill="1" applyBorder="1" applyAlignment="1" applyProtection="1">
      <alignment vertical="center"/>
      <protection locked="0"/>
    </xf>
    <xf numFmtId="164" fontId="18" fillId="7" borderId="10" xfId="0" applyFont="1" applyFill="1" applyBorder="1" applyAlignment="1" applyProtection="1">
      <alignment horizontal="center" vertical="center"/>
      <protection locked="0"/>
    </xf>
    <xf numFmtId="164" fontId="22" fillId="7" borderId="1" xfId="0" applyFont="1" applyFill="1" applyBorder="1" applyAlignment="1" applyProtection="1">
      <alignment horizontal="left" vertical="center"/>
      <protection locked="0"/>
    </xf>
    <xf numFmtId="164" fontId="18" fillId="7" borderId="16" xfId="0" applyFont="1" applyFill="1" applyBorder="1" applyAlignment="1" applyProtection="1">
      <alignment vertical="center"/>
      <protection locked="0"/>
    </xf>
    <xf numFmtId="164" fontId="18" fillId="7" borderId="28" xfId="0" applyFont="1" applyFill="1" applyBorder="1" applyAlignment="1" applyProtection="1">
      <alignment vertical="center"/>
      <protection locked="0"/>
    </xf>
    <xf numFmtId="164" fontId="18" fillId="7" borderId="0" xfId="0" applyNumberFormat="1" applyFont="1" applyFill="1" applyAlignment="1" applyProtection="1">
      <alignment horizontal="left" vertical="center" indent="10"/>
      <protection locked="0"/>
    </xf>
    <xf numFmtId="164" fontId="18" fillId="7" borderId="20" xfId="0" applyFont="1" applyFill="1" applyBorder="1" applyAlignment="1" applyProtection="1">
      <alignment horizontal="left" vertical="center" indent="10"/>
      <protection locked="0"/>
    </xf>
    <xf numFmtId="164" fontId="52" fillId="7" borderId="32" xfId="0" applyFont="1" applyFill="1" applyBorder="1" applyAlignment="1" applyProtection="1">
      <alignment horizontal="left" vertical="center"/>
      <protection locked="0"/>
    </xf>
    <xf numFmtId="167" fontId="18" fillId="7" borderId="30" xfId="0" applyNumberFormat="1" applyFont="1" applyFill="1" applyBorder="1" applyAlignment="1" applyProtection="1">
      <alignment vertical="center"/>
      <protection locked="0"/>
    </xf>
    <xf numFmtId="164" fontId="18" fillId="7" borderId="13" xfId="0" applyFont="1" applyFill="1" applyBorder="1" applyAlignment="1" applyProtection="1">
      <alignment horizontal="left" vertical="center" indent="10"/>
      <protection locked="0"/>
    </xf>
    <xf numFmtId="164" fontId="52" fillId="7" borderId="0" xfId="0" applyFont="1" applyFill="1" applyBorder="1" applyAlignment="1" applyProtection="1">
      <alignment horizontal="left" vertical="center"/>
      <protection locked="0"/>
    </xf>
    <xf numFmtId="167" fontId="52" fillId="7" borderId="0" xfId="0" applyNumberFormat="1" applyFont="1" applyFill="1" applyBorder="1" applyAlignment="1" applyProtection="1">
      <alignment horizontal="left" vertical="center"/>
      <protection locked="0"/>
    </xf>
    <xf numFmtId="164" fontId="18" fillId="7" borderId="24" xfId="0" applyFont="1" applyFill="1" applyBorder="1" applyAlignment="1" applyProtection="1">
      <alignment horizontal="left" vertical="center" indent="10"/>
      <protection locked="0"/>
    </xf>
    <xf numFmtId="164" fontId="52" fillId="7" borderId="33" xfId="0" applyFont="1" applyFill="1" applyBorder="1" applyAlignment="1" applyProtection="1">
      <alignment horizontal="left" vertical="center"/>
      <protection locked="0"/>
    </xf>
    <xf numFmtId="167" fontId="52" fillId="7" borderId="33" xfId="0" applyNumberFormat="1" applyFont="1" applyFill="1" applyBorder="1" applyAlignment="1" applyProtection="1">
      <alignment horizontal="left" vertical="center"/>
      <protection locked="0"/>
    </xf>
    <xf numFmtId="164" fontId="23" fillId="7" borderId="32" xfId="0" applyFont="1" applyFill="1" applyBorder="1" applyAlignment="1" applyProtection="1">
      <alignment horizontal="left" vertical="center"/>
      <protection locked="0"/>
    </xf>
    <xf numFmtId="167" fontId="52" fillId="7" borderId="32" xfId="0" applyNumberFormat="1" applyFont="1" applyFill="1" applyBorder="1" applyAlignment="1" applyProtection="1">
      <alignment horizontal="left" vertical="center"/>
      <protection locked="0"/>
    </xf>
    <xf numFmtId="164" fontId="53" fillId="7" borderId="1" xfId="0" applyFont="1" applyFill="1" applyBorder="1" applyAlignment="1" applyProtection="1">
      <alignment horizontal="center" vertical="center" wrapText="1"/>
      <protection locked="0"/>
    </xf>
    <xf numFmtId="168" fontId="18" fillId="7" borderId="0" xfId="0" applyNumberFormat="1" applyFont="1" applyFill="1" applyAlignment="1" applyProtection="1">
      <alignment vertical="center"/>
      <protection locked="0"/>
    </xf>
    <xf numFmtId="167" fontId="18" fillId="7" borderId="31" xfId="0" applyNumberFormat="1" applyFont="1" applyFill="1" applyBorder="1" applyAlignment="1" applyProtection="1">
      <alignment vertical="center"/>
      <protection locked="0"/>
    </xf>
    <xf numFmtId="167" fontId="18" fillId="7" borderId="0" xfId="0" applyNumberFormat="1" applyFont="1" applyFill="1" applyBorder="1" applyAlignment="1" applyProtection="1">
      <alignment vertical="center"/>
      <protection locked="0"/>
    </xf>
    <xf numFmtId="164" fontId="18" fillId="6" borderId="13" xfId="0" applyFont="1" applyFill="1" applyBorder="1" applyAlignment="1" applyProtection="1">
      <alignment horizontal="left" vertical="center" indent="10"/>
      <protection locked="0"/>
    </xf>
    <xf numFmtId="164" fontId="52" fillId="6" borderId="0" xfId="0" applyFont="1" applyFill="1" applyBorder="1" applyAlignment="1" applyProtection="1">
      <alignment horizontal="left" vertical="center"/>
      <protection locked="0"/>
    </xf>
    <xf numFmtId="167" fontId="52" fillId="6" borderId="0" xfId="0" applyNumberFormat="1" applyFont="1" applyFill="1" applyBorder="1" applyAlignment="1" applyProtection="1">
      <alignment horizontal="left" vertical="center"/>
      <protection locked="0"/>
    </xf>
    <xf numFmtId="167" fontId="18" fillId="7" borderId="25" xfId="0" applyNumberFormat="1" applyFont="1" applyFill="1" applyBorder="1" applyAlignment="1" applyProtection="1">
      <alignment vertical="center"/>
      <protection locked="0"/>
    </xf>
    <xf numFmtId="164" fontId="18" fillId="6" borderId="24" xfId="0" applyFont="1" applyFill="1" applyBorder="1" applyAlignment="1" applyProtection="1">
      <alignment horizontal="left" vertical="center" indent="10"/>
      <protection locked="0"/>
    </xf>
    <xf numFmtId="164" fontId="52" fillId="6" borderId="33" xfId="0" applyFont="1" applyFill="1" applyBorder="1" applyAlignment="1" applyProtection="1">
      <alignment horizontal="left" vertical="center"/>
      <protection locked="0"/>
    </xf>
    <xf numFmtId="167" fontId="52" fillId="6" borderId="33" xfId="0" applyNumberFormat="1" applyFont="1" applyFill="1" applyBorder="1" applyAlignment="1" applyProtection="1">
      <alignment horizontal="left" vertical="center"/>
      <protection locked="0"/>
    </xf>
    <xf numFmtId="164" fontId="18" fillId="6" borderId="0" xfId="0" applyFont="1" applyFill="1" applyAlignment="1" applyProtection="1">
      <alignment horizontal="left" vertical="center" indent="10"/>
      <protection locked="0"/>
    </xf>
    <xf numFmtId="164" fontId="18" fillId="6" borderId="0" xfId="0" applyFont="1" applyFill="1" applyAlignment="1" applyProtection="1">
      <alignment vertical="center"/>
      <protection locked="0"/>
    </xf>
    <xf numFmtId="164" fontId="18" fillId="14" borderId="0" xfId="0" applyFont="1" applyFill="1" applyAlignment="1">
      <alignment vertical="center"/>
    </xf>
    <xf numFmtId="164" fontId="18" fillId="14" borderId="0" xfId="0" applyFont="1" applyFill="1" applyAlignment="1" applyProtection="1">
      <alignment vertical="center"/>
      <protection locked="0"/>
    </xf>
    <xf numFmtId="164" fontId="18" fillId="7" borderId="0" xfId="0" applyFont="1" applyFill="1" applyAlignment="1" applyProtection="1">
      <alignment horizontal="left" vertical="center"/>
      <protection locked="0"/>
    </xf>
    <xf numFmtId="164" fontId="18" fillId="7" borderId="0" xfId="0" applyFont="1" applyFill="1" applyAlignment="1" applyProtection="1">
      <alignment horizontal="center" vertical="center"/>
      <protection locked="0"/>
    </xf>
    <xf numFmtId="164" fontId="54" fillId="7" borderId="0" xfId="0" applyFont="1" applyFill="1" applyAlignment="1" applyProtection="1">
      <alignment vertical="center"/>
      <protection locked="0"/>
    </xf>
    <xf numFmtId="164" fontId="55" fillId="7" borderId="0" xfId="0" applyFont="1" applyFill="1" applyAlignment="1" applyProtection="1">
      <alignment vertical="center"/>
      <protection locked="0"/>
    </xf>
    <xf numFmtId="164" fontId="56" fillId="7" borderId="0" xfId="0" applyFont="1" applyFill="1" applyAlignment="1" applyProtection="1">
      <alignment vertical="center"/>
      <protection locked="0"/>
    </xf>
    <xf numFmtId="164" fontId="57" fillId="7" borderId="0" xfId="0" applyFont="1" applyFill="1" applyAlignment="1" applyProtection="1">
      <alignment vertical="center"/>
      <protection locked="0"/>
    </xf>
    <xf numFmtId="164" fontId="18" fillId="7" borderId="20" xfId="0" applyFont="1" applyFill="1" applyBorder="1" applyAlignment="1" applyProtection="1">
      <alignment horizontal="center" vertical="center"/>
      <protection locked="0"/>
    </xf>
    <xf numFmtId="164" fontId="18" fillId="13" borderId="7" xfId="0" applyFont="1" applyFill="1" applyBorder="1" applyAlignment="1" applyProtection="1">
      <alignment horizontal="center" vertical="center"/>
      <protection locked="0"/>
    </xf>
    <xf numFmtId="164" fontId="58" fillId="7" borderId="0" xfId="0" applyFont="1" applyFill="1" applyBorder="1" applyAlignment="1" applyProtection="1">
      <alignment/>
      <protection locked="0"/>
    </xf>
    <xf numFmtId="164" fontId="53" fillId="7" borderId="0" xfId="0" applyFont="1" applyFill="1" applyAlignment="1" applyProtection="1">
      <alignment horizontal="center"/>
      <protection locked="0"/>
    </xf>
    <xf numFmtId="164" fontId="59" fillId="7" borderId="34" xfId="0" applyFont="1" applyFill="1" applyBorder="1" applyAlignment="1" applyProtection="1">
      <alignment horizontal="center" vertical="center"/>
      <protection locked="0"/>
    </xf>
    <xf numFmtId="164" fontId="18" fillId="14" borderId="1" xfId="0" applyFont="1" applyFill="1" applyBorder="1" applyAlignment="1" applyProtection="1">
      <alignment horizontal="center" vertical="center"/>
      <protection locked="0"/>
    </xf>
    <xf numFmtId="164" fontId="59" fillId="7" borderId="35" xfId="0" applyFont="1" applyFill="1" applyBorder="1" applyAlignment="1" applyProtection="1">
      <alignment horizontal="center" vertical="center"/>
      <protection locked="0"/>
    </xf>
    <xf numFmtId="164" fontId="59" fillId="7" borderId="36" xfId="0" applyFont="1" applyFill="1" applyBorder="1" applyAlignment="1" applyProtection="1">
      <alignment horizontal="center" vertical="center"/>
      <protection locked="0"/>
    </xf>
    <xf numFmtId="164" fontId="59" fillId="7" borderId="37" xfId="0" applyFont="1" applyFill="1" applyBorder="1" applyAlignment="1" applyProtection="1">
      <alignment horizontal="center" vertical="center"/>
      <protection locked="0"/>
    </xf>
    <xf numFmtId="164" fontId="18" fillId="14" borderId="1" xfId="0" applyFont="1" applyFill="1" applyBorder="1" applyAlignment="1">
      <alignment horizontal="center" vertical="center"/>
    </xf>
    <xf numFmtId="164" fontId="18" fillId="7" borderId="1" xfId="0" applyFont="1" applyFill="1" applyBorder="1" applyAlignment="1">
      <alignment vertical="center"/>
    </xf>
    <xf numFmtId="164" fontId="18" fillId="7" borderId="2" xfId="0" applyFont="1" applyFill="1" applyBorder="1" applyAlignment="1" applyProtection="1">
      <alignment vertical="center"/>
      <protection locked="0"/>
    </xf>
    <xf numFmtId="164" fontId="18" fillId="14" borderId="5" xfId="0" applyFont="1" applyFill="1" applyBorder="1" applyAlignment="1" applyProtection="1">
      <alignment vertical="center"/>
      <protection locked="0"/>
    </xf>
    <xf numFmtId="164" fontId="18" fillId="7" borderId="14" xfId="0" applyFont="1" applyFill="1" applyBorder="1" applyAlignment="1">
      <alignment vertical="center"/>
    </xf>
    <xf numFmtId="167" fontId="18" fillId="7" borderId="0" xfId="0" applyNumberFormat="1" applyFont="1" applyFill="1" applyAlignment="1" applyProtection="1">
      <alignment horizontal="left" vertical="center" indent="10"/>
      <protection locked="0"/>
    </xf>
    <xf numFmtId="164" fontId="59" fillId="7" borderId="38" xfId="0" applyFont="1" applyFill="1" applyBorder="1" applyAlignment="1" applyProtection="1">
      <alignment horizontal="center" vertical="center"/>
      <protection locked="0"/>
    </xf>
    <xf numFmtId="164" fontId="59" fillId="7" borderId="23" xfId="0" applyFont="1" applyFill="1" applyBorder="1" applyAlignment="1" applyProtection="1">
      <alignment horizontal="center" vertical="center"/>
      <protection locked="0"/>
    </xf>
    <xf numFmtId="164" fontId="59" fillId="7" borderId="39" xfId="0" applyFont="1" applyFill="1" applyBorder="1" applyAlignment="1" applyProtection="1">
      <alignment horizontal="center" vertical="center"/>
      <protection locked="0"/>
    </xf>
    <xf numFmtId="164" fontId="59" fillId="7" borderId="40" xfId="0" applyFont="1" applyFill="1" applyBorder="1" applyAlignment="1" applyProtection="1">
      <alignment horizontal="center" vertical="center"/>
      <protection locked="0"/>
    </xf>
    <xf numFmtId="164" fontId="56" fillId="7" borderId="0" xfId="0" applyFont="1" applyFill="1" applyAlignment="1" applyProtection="1">
      <alignment horizontal="left" vertical="center" indent="10"/>
      <protection locked="0"/>
    </xf>
    <xf numFmtId="164" fontId="56" fillId="7" borderId="18" xfId="0" applyFont="1" applyFill="1" applyBorder="1" applyAlignment="1" applyProtection="1">
      <alignment vertical="center"/>
      <protection locked="0"/>
    </xf>
    <xf numFmtId="164" fontId="56" fillId="7" borderId="19" xfId="0" applyFont="1" applyFill="1" applyBorder="1" applyAlignment="1" applyProtection="1">
      <alignment vertical="center"/>
      <protection locked="0"/>
    </xf>
    <xf numFmtId="164" fontId="56" fillId="7" borderId="30" xfId="0" applyFont="1" applyFill="1" applyBorder="1" applyAlignment="1" applyProtection="1">
      <alignment vertical="center"/>
      <protection locked="0"/>
    </xf>
    <xf numFmtId="164" fontId="56" fillId="7" borderId="13" xfId="0" applyFont="1" applyFill="1" applyBorder="1" applyAlignment="1" applyProtection="1">
      <alignment vertical="center"/>
      <protection locked="0"/>
    </xf>
    <xf numFmtId="164" fontId="60" fillId="7" borderId="37" xfId="0" applyFont="1" applyFill="1" applyBorder="1" applyAlignment="1" applyProtection="1">
      <alignment horizontal="center" vertical="center"/>
      <protection locked="0"/>
    </xf>
    <xf numFmtId="164" fontId="60" fillId="7" borderId="36" xfId="0" applyFont="1" applyFill="1" applyBorder="1" applyAlignment="1" applyProtection="1">
      <alignment horizontal="center" vertical="center"/>
      <protection locked="0"/>
    </xf>
    <xf numFmtId="164" fontId="56" fillId="7" borderId="0" xfId="0" applyFont="1" applyFill="1" applyAlignment="1">
      <alignment vertical="center"/>
    </xf>
    <xf numFmtId="164" fontId="56" fillId="7" borderId="0" xfId="0" applyNumberFormat="1" applyFont="1" applyFill="1" applyAlignment="1" applyProtection="1">
      <alignment horizontal="left" vertical="center" indent="10"/>
      <protection locked="0"/>
    </xf>
    <xf numFmtId="164" fontId="56" fillId="7" borderId="0" xfId="0" applyFont="1" applyFill="1" applyBorder="1" applyAlignment="1" applyProtection="1">
      <alignment vertical="center"/>
      <protection locked="0"/>
    </xf>
    <xf numFmtId="164" fontId="56" fillId="7" borderId="31" xfId="0" applyFont="1" applyFill="1" applyBorder="1" applyAlignment="1" applyProtection="1">
      <alignment vertical="center"/>
      <protection locked="0"/>
    </xf>
    <xf numFmtId="168" fontId="56" fillId="7" borderId="31" xfId="0" applyNumberFormat="1" applyFont="1" applyFill="1" applyBorder="1" applyAlignment="1" applyProtection="1">
      <alignment vertical="center"/>
      <protection locked="0"/>
    </xf>
    <xf numFmtId="169" fontId="56" fillId="7" borderId="0" xfId="0" applyNumberFormat="1" applyFont="1" applyFill="1" applyAlignment="1" applyProtection="1">
      <alignment horizontal="left" vertical="center" indent="10"/>
      <protection locked="0"/>
    </xf>
    <xf numFmtId="164" fontId="56" fillId="7" borderId="24" xfId="0" applyFont="1" applyFill="1" applyBorder="1" applyAlignment="1" applyProtection="1">
      <alignment vertical="center"/>
      <protection locked="0"/>
    </xf>
    <xf numFmtId="164" fontId="56" fillId="7" borderId="33" xfId="0" applyFont="1" applyFill="1" applyBorder="1" applyAlignment="1" applyProtection="1">
      <alignment vertical="center"/>
      <protection locked="0"/>
    </xf>
    <xf numFmtId="164" fontId="56" fillId="7" borderId="25" xfId="0" applyFont="1" applyFill="1" applyBorder="1" applyAlignment="1" applyProtection="1">
      <alignment vertical="center"/>
      <protection locked="0"/>
    </xf>
    <xf numFmtId="164" fontId="60" fillId="7" borderId="38" xfId="0" applyFont="1" applyFill="1" applyBorder="1" applyAlignment="1" applyProtection="1">
      <alignment horizontal="center" vertical="center"/>
      <protection locked="0"/>
    </xf>
    <xf numFmtId="164" fontId="4" fillId="20" borderId="1" xfId="0" applyFont="1" applyFill="1" applyBorder="1" applyAlignment="1" applyProtection="1">
      <alignment horizontal="center" vertical="center"/>
      <protection locked="0"/>
    </xf>
    <xf numFmtId="164" fontId="18" fillId="7" borderId="0" xfId="0" applyFont="1" applyFill="1" applyAlignment="1">
      <alignment horizontal="left" vertical="center" indent="10"/>
    </xf>
    <xf numFmtId="164" fontId="18" fillId="7" borderId="18" xfId="0" applyFont="1" applyFill="1" applyBorder="1" applyAlignment="1" applyProtection="1">
      <alignment vertical="center"/>
      <protection locked="0"/>
    </xf>
    <xf numFmtId="164" fontId="18" fillId="7" borderId="17" xfId="0" applyFont="1" applyFill="1" applyBorder="1" applyAlignment="1" applyProtection="1">
      <alignment vertical="center"/>
      <protection locked="0"/>
    </xf>
    <xf numFmtId="164" fontId="18" fillId="7" borderId="19" xfId="0" applyFont="1" applyFill="1" applyBorder="1" applyAlignment="1" applyProtection="1">
      <alignment vertical="center"/>
      <protection locked="0"/>
    </xf>
    <xf numFmtId="164" fontId="18" fillId="7" borderId="19" xfId="0" applyFont="1" applyFill="1" applyBorder="1" applyAlignment="1" applyProtection="1">
      <alignment horizontal="left" vertical="center"/>
      <protection locked="0"/>
    </xf>
    <xf numFmtId="164" fontId="67" fillId="0" borderId="0" xfId="0" applyFont="1" applyAlignment="1" applyProtection="1">
      <alignment vertical="center"/>
      <protection hidden="1"/>
    </xf>
    <xf numFmtId="164" fontId="67" fillId="0" borderId="0" xfId="0" applyFont="1" applyAlignment="1" applyProtection="1">
      <alignment horizontal="center" vertical="center"/>
      <protection hidden="1"/>
    </xf>
    <xf numFmtId="164" fontId="68" fillId="0" borderId="0" xfId="0" applyFont="1" applyBorder="1" applyAlignment="1" applyProtection="1">
      <alignment horizontal="center" vertical="center"/>
      <protection hidden="1"/>
    </xf>
    <xf numFmtId="164" fontId="69" fillId="0" borderId="0" xfId="0" applyFont="1" applyAlignment="1" applyProtection="1">
      <alignment vertical="center"/>
      <protection hidden="1"/>
    </xf>
    <xf numFmtId="164" fontId="69" fillId="0" borderId="0" xfId="0" applyFont="1" applyAlignment="1" applyProtection="1">
      <alignment horizontal="center" vertical="center"/>
      <protection hidden="1"/>
    </xf>
    <xf numFmtId="164" fontId="70" fillId="0" borderId="1" xfId="0" applyFont="1" applyBorder="1" applyAlignment="1" applyProtection="1">
      <alignment horizontal="center" vertical="center" wrapText="1"/>
      <protection hidden="1"/>
    </xf>
    <xf numFmtId="164" fontId="70" fillId="0" borderId="1" xfId="0" applyFont="1" applyBorder="1" applyAlignment="1" applyProtection="1">
      <alignment horizontal="center" vertical="center" wrapText="1"/>
      <protection hidden="1" locked="0"/>
    </xf>
    <xf numFmtId="164" fontId="71" fillId="0" borderId="1" xfId="0" applyFont="1" applyBorder="1" applyAlignment="1" applyProtection="1">
      <alignment horizontal="center" vertical="center" wrapText="1"/>
      <protection hidden="1" locked="0"/>
    </xf>
    <xf numFmtId="164" fontId="72" fillId="0" borderId="1" xfId="0" applyFont="1" applyBorder="1" applyAlignment="1" applyProtection="1">
      <alignment horizontal="center" vertical="center" wrapText="1"/>
      <protection hidden="1" locked="0"/>
    </xf>
    <xf numFmtId="164" fontId="73" fillId="0" borderId="0" xfId="0" applyFont="1" applyAlignment="1" applyProtection="1">
      <alignment horizontal="center" vertical="center" wrapText="1"/>
      <protection hidden="1"/>
    </xf>
    <xf numFmtId="164" fontId="69" fillId="0" borderId="1" xfId="0" applyFont="1" applyBorder="1" applyAlignment="1" applyProtection="1">
      <alignment horizontal="center" vertical="center"/>
      <protection hidden="1"/>
    </xf>
    <xf numFmtId="170" fontId="69" fillId="0" borderId="1" xfId="0" applyNumberFormat="1" applyFont="1" applyBorder="1" applyAlignment="1" applyProtection="1">
      <alignment horizontal="center" vertical="center"/>
      <protection hidden="1" locked="0"/>
    </xf>
    <xf numFmtId="164" fontId="69" fillId="0" borderId="1" xfId="0" applyFont="1" applyBorder="1" applyAlignment="1" applyProtection="1">
      <alignment horizontal="center" vertical="center"/>
      <protection hidden="1" locked="0"/>
    </xf>
    <xf numFmtId="167" fontId="74" fillId="0" borderId="1" xfId="0" applyNumberFormat="1" applyFont="1" applyBorder="1" applyAlignment="1" applyProtection="1">
      <alignment horizontal="center" vertical="center" wrapText="1"/>
      <protection hidden="1" locked="0"/>
    </xf>
    <xf numFmtId="164" fontId="74" fillId="0" borderId="1" xfId="0" applyFont="1" applyBorder="1" applyAlignment="1" applyProtection="1">
      <alignment horizontal="center" vertical="center"/>
      <protection hidden="1" locked="0"/>
    </xf>
    <xf numFmtId="164" fontId="75" fillId="0" borderId="1" xfId="0" applyFont="1" applyBorder="1" applyAlignment="1" applyProtection="1">
      <alignment horizontal="center" vertical="center" wrapText="1"/>
      <protection hidden="1" locked="0"/>
    </xf>
    <xf numFmtId="164" fontId="76" fillId="0" borderId="1" xfId="0" applyFont="1" applyBorder="1" applyAlignment="1" applyProtection="1">
      <alignment horizontal="left" vertical="center" wrapText="1"/>
      <protection hidden="1" locked="0"/>
    </xf>
    <xf numFmtId="167" fontId="69" fillId="0" borderId="1" xfId="0" applyNumberFormat="1" applyFont="1" applyBorder="1" applyAlignment="1" applyProtection="1">
      <alignment horizontal="center" vertical="center"/>
      <protection hidden="1" locked="0"/>
    </xf>
    <xf numFmtId="164" fontId="76" fillId="0" borderId="21" xfId="0" applyFont="1" applyBorder="1" applyAlignment="1" applyProtection="1">
      <alignment vertical="center" wrapText="1"/>
      <protection hidden="1" locked="0"/>
    </xf>
    <xf numFmtId="164" fontId="77" fillId="0" borderId="1" xfId="0" applyFont="1" applyBorder="1" applyAlignment="1" applyProtection="1">
      <alignment horizontal="center" vertical="center" wrapText="1"/>
      <protection hidden="1" locked="0"/>
    </xf>
    <xf numFmtId="164" fontId="75" fillId="0" borderId="21" xfId="0" applyFont="1" applyBorder="1" applyAlignment="1" applyProtection="1">
      <alignment vertical="center" wrapText="1"/>
      <protection hidden="1" locked="0"/>
    </xf>
    <xf numFmtId="164" fontId="78" fillId="0" borderId="1" xfId="0" applyFont="1" applyBorder="1" applyAlignment="1" applyProtection="1">
      <alignment horizontal="left" vertical="center" wrapText="1"/>
      <protection hidden="1" locked="0"/>
    </xf>
    <xf numFmtId="164" fontId="69" fillId="0" borderId="1" xfId="0" applyFont="1" applyBorder="1" applyAlignment="1" applyProtection="1">
      <alignment horizontal="center" vertical="center" wrapText="1"/>
      <protection hidden="1" locked="0"/>
    </xf>
    <xf numFmtId="167" fontId="69" fillId="0" borderId="1" xfId="0" applyNumberFormat="1" applyFont="1" applyBorder="1" applyAlignment="1" applyProtection="1">
      <alignment horizontal="center" vertical="center"/>
      <protection hidden="1"/>
    </xf>
    <xf numFmtId="164" fontId="69" fillId="0" borderId="0" xfId="0" applyFont="1" applyBorder="1" applyAlignment="1" applyProtection="1">
      <alignment horizontal="center" vertical="center"/>
      <protection hidden="1"/>
    </xf>
    <xf numFmtId="167" fontId="69" fillId="0" borderId="0" xfId="0" applyNumberFormat="1" applyFont="1" applyBorder="1" applyAlignment="1" applyProtection="1">
      <alignment horizontal="center" vertical="center"/>
      <protection hidden="1"/>
    </xf>
    <xf numFmtId="164" fontId="79" fillId="0" borderId="41" xfId="0" applyFont="1" applyBorder="1" applyAlignment="1" applyProtection="1">
      <alignment vertical="center"/>
      <protection hidden="1"/>
    </xf>
    <xf numFmtId="164" fontId="79" fillId="0" borderId="41" xfId="0" applyFont="1" applyBorder="1" applyAlignment="1" applyProtection="1">
      <alignment horizontal="center" vertical="center"/>
      <protection hidden="1"/>
    </xf>
    <xf numFmtId="164" fontId="79" fillId="0" borderId="41" xfId="0" applyFont="1" applyBorder="1" applyAlignment="1" applyProtection="1">
      <alignment horizontal="left" vertical="center"/>
      <protection hidden="1"/>
    </xf>
    <xf numFmtId="164" fontId="80" fillId="0" borderId="0" xfId="0" applyFont="1" applyAlignment="1" applyProtection="1">
      <alignment horizontal="center" vertical="center"/>
      <protection hidden="1"/>
    </xf>
    <xf numFmtId="164" fontId="80" fillId="0" borderId="0" xfId="0" applyFont="1" applyAlignment="1" applyProtection="1">
      <alignment vertical="center"/>
      <protection hidden="1"/>
    </xf>
    <xf numFmtId="164" fontId="68" fillId="6" borderId="0" xfId="0" applyFont="1" applyFill="1" applyAlignment="1" applyProtection="1">
      <alignment vertical="center"/>
      <protection hidden="1"/>
    </xf>
    <xf numFmtId="164" fontId="68" fillId="6" borderId="0" xfId="0" applyFont="1" applyFill="1" applyAlignment="1" applyProtection="1">
      <alignment horizontal="center" vertical="center"/>
      <protection hidden="1"/>
    </xf>
    <xf numFmtId="164" fontId="81" fillId="0" borderId="0" xfId="0" applyFont="1" applyAlignment="1" applyProtection="1">
      <alignment vertical="center"/>
      <protection hidden="1"/>
    </xf>
    <xf numFmtId="164" fontId="67" fillId="0" borderId="0" xfId="0" applyFont="1" applyAlignment="1">
      <alignment/>
    </xf>
    <xf numFmtId="164" fontId="67" fillId="6" borderId="0" xfId="0" applyFont="1" applyFill="1" applyAlignment="1">
      <alignment/>
    </xf>
    <xf numFmtId="164" fontId="82" fillId="6" borderId="0" xfId="0" applyFont="1" applyFill="1" applyAlignment="1">
      <alignment/>
    </xf>
    <xf numFmtId="164" fontId="53" fillId="0" borderId="0" xfId="0" applyFont="1" applyAlignment="1">
      <alignment/>
    </xf>
    <xf numFmtId="164" fontId="74" fillId="0" borderId="0" xfId="0" applyFont="1" applyAlignment="1">
      <alignment/>
    </xf>
    <xf numFmtId="164" fontId="83" fillId="0" borderId="0" xfId="0" applyFont="1" applyAlignment="1">
      <alignment/>
    </xf>
    <xf numFmtId="164" fontId="84" fillId="0" borderId="16" xfId="0" applyFont="1" applyBorder="1" applyAlignment="1" applyProtection="1">
      <alignment horizontal="center"/>
      <protection hidden="1"/>
    </xf>
    <xf numFmtId="164" fontId="53" fillId="0" borderId="0" xfId="0" applyFont="1" applyBorder="1" applyAlignment="1">
      <alignment horizontal="center"/>
    </xf>
    <xf numFmtId="164" fontId="85" fillId="0" borderId="28" xfId="0" applyFont="1" applyBorder="1" applyAlignment="1" applyProtection="1">
      <alignment horizontal="center" vertical="center"/>
      <protection hidden="1"/>
    </xf>
    <xf numFmtId="164" fontId="86" fillId="0" borderId="0" xfId="0" applyFont="1" applyBorder="1" applyAlignment="1">
      <alignment horizontal="center" vertical="top"/>
    </xf>
    <xf numFmtId="164" fontId="87" fillId="0" borderId="20" xfId="0" applyFont="1" applyBorder="1" applyAlignment="1" applyProtection="1">
      <alignment horizontal="left" vertical="center"/>
      <protection hidden="1"/>
    </xf>
    <xf numFmtId="164" fontId="83" fillId="0" borderId="32" xfId="0" applyFont="1" applyBorder="1" applyAlignment="1" applyProtection="1">
      <alignment horizontal="left" vertical="center"/>
      <protection hidden="1"/>
    </xf>
    <xf numFmtId="164" fontId="83" fillId="0" borderId="32" xfId="0" applyFont="1" applyBorder="1" applyAlignment="1" applyProtection="1">
      <alignment horizontal="right" vertical="center"/>
      <protection hidden="1"/>
    </xf>
    <xf numFmtId="164" fontId="83" fillId="0" borderId="30" xfId="0" applyFont="1" applyBorder="1" applyAlignment="1" applyProtection="1">
      <alignment horizontal="left" vertical="center" shrinkToFit="1"/>
      <protection hidden="1"/>
    </xf>
    <xf numFmtId="164" fontId="53" fillId="0" borderId="0" xfId="0" applyFont="1" applyBorder="1" applyAlignment="1">
      <alignment horizontal="left" vertical="center"/>
    </xf>
    <xf numFmtId="164" fontId="74" fillId="0" borderId="24" xfId="0" applyFont="1" applyBorder="1" applyAlignment="1" applyProtection="1">
      <alignment horizontal="left" vertical="center"/>
      <protection hidden="1"/>
    </xf>
    <xf numFmtId="164" fontId="83" fillId="0" borderId="33" xfId="0" applyFont="1" applyBorder="1" applyAlignment="1" applyProtection="1">
      <alignment horizontal="left" vertical="center" wrapText="1"/>
      <protection hidden="1"/>
    </xf>
    <xf numFmtId="164" fontId="83" fillId="0" borderId="33" xfId="0" applyFont="1" applyBorder="1" applyAlignment="1" applyProtection="1">
      <alignment horizontal="right" vertical="center"/>
      <protection hidden="1" locked="0"/>
    </xf>
    <xf numFmtId="164" fontId="83" fillId="0" borderId="25" xfId="0" applyFont="1" applyBorder="1" applyAlignment="1" applyProtection="1">
      <alignment horizontal="left" vertical="center" shrinkToFit="1"/>
      <protection hidden="1"/>
    </xf>
    <xf numFmtId="164" fontId="88" fillId="0" borderId="13" xfId="0" applyFont="1" applyBorder="1" applyAlignment="1" applyProtection="1">
      <alignment horizontal="center"/>
      <protection hidden="1"/>
    </xf>
    <xf numFmtId="164" fontId="83" fillId="0" borderId="42" xfId="0" applyFont="1" applyBorder="1" applyAlignment="1" applyProtection="1">
      <alignment horizontal="left" vertical="center"/>
      <protection hidden="1"/>
    </xf>
    <xf numFmtId="164" fontId="88" fillId="0" borderId="43" xfId="0" applyFont="1" applyBorder="1" applyAlignment="1" applyProtection="1">
      <alignment horizontal="right" vertical="center"/>
      <protection hidden="1"/>
    </xf>
    <xf numFmtId="164" fontId="89" fillId="0" borderId="43" xfId="0" applyFont="1" applyBorder="1" applyAlignment="1" applyProtection="1">
      <alignment/>
      <protection hidden="1"/>
    </xf>
    <xf numFmtId="164" fontId="88" fillId="0" borderId="44" xfId="0" applyFont="1" applyBorder="1" applyAlignment="1" applyProtection="1">
      <alignment horizontal="left" vertical="center"/>
      <protection hidden="1"/>
    </xf>
    <xf numFmtId="164" fontId="58" fillId="0" borderId="0" xfId="0" applyFont="1" applyBorder="1" applyAlignment="1">
      <alignment horizontal="center"/>
    </xf>
    <xf numFmtId="164" fontId="88" fillId="0" borderId="12" xfId="0" applyFont="1" applyBorder="1" applyAlignment="1" applyProtection="1">
      <alignment horizontal="left"/>
      <protection hidden="1"/>
    </xf>
    <xf numFmtId="164" fontId="83" fillId="0" borderId="45" xfId="0" applyFont="1" applyBorder="1" applyAlignment="1" applyProtection="1">
      <alignment horizontal="center"/>
      <protection hidden="1"/>
    </xf>
    <xf numFmtId="164" fontId="83" fillId="0" borderId="46" xfId="0" applyFont="1" applyBorder="1" applyAlignment="1" applyProtection="1">
      <alignment horizontal="center"/>
      <protection hidden="1"/>
    </xf>
    <xf numFmtId="171" fontId="83" fillId="0" borderId="47" xfId="0" applyNumberFormat="1" applyFont="1" applyBorder="1" applyAlignment="1" applyProtection="1">
      <alignment/>
      <protection hidden="1"/>
    </xf>
    <xf numFmtId="171" fontId="83" fillId="0" borderId="31" xfId="0" applyNumberFormat="1" applyFont="1" applyBorder="1" applyAlignment="1" applyProtection="1">
      <alignment/>
      <protection hidden="1"/>
    </xf>
    <xf numFmtId="165" fontId="90" fillId="0" borderId="0" xfId="0" applyNumberFormat="1" applyFont="1" applyBorder="1" applyAlignment="1">
      <alignment/>
    </xf>
    <xf numFmtId="164" fontId="83" fillId="0" borderId="12" xfId="0" applyFont="1" applyBorder="1" applyAlignment="1" applyProtection="1">
      <alignment horizontal="left"/>
      <protection hidden="1"/>
    </xf>
    <xf numFmtId="164" fontId="83" fillId="0" borderId="12" xfId="0" applyFont="1" applyBorder="1" applyAlignment="1" applyProtection="1">
      <alignment horizontal="center"/>
      <protection hidden="1"/>
    </xf>
    <xf numFmtId="164" fontId="83" fillId="0" borderId="0" xfId="0" applyFont="1" applyBorder="1" applyAlignment="1" applyProtection="1">
      <alignment horizontal="center"/>
      <protection hidden="1"/>
    </xf>
    <xf numFmtId="171" fontId="83" fillId="0" borderId="26" xfId="0" applyNumberFormat="1" applyFont="1" applyBorder="1" applyAlignment="1" applyProtection="1">
      <alignment/>
      <protection hidden="1"/>
    </xf>
    <xf numFmtId="165" fontId="58" fillId="0" borderId="0" xfId="0" applyNumberFormat="1" applyFont="1" applyBorder="1" applyAlignment="1">
      <alignment/>
    </xf>
    <xf numFmtId="164" fontId="74" fillId="0" borderId="12" xfId="0" applyFont="1" applyBorder="1" applyAlignment="1" applyProtection="1">
      <alignment horizontal="center"/>
      <protection hidden="1"/>
    </xf>
    <xf numFmtId="164" fontId="74" fillId="0" borderId="0" xfId="0" applyFont="1" applyBorder="1" applyAlignment="1" applyProtection="1">
      <alignment horizontal="left"/>
      <protection hidden="1"/>
    </xf>
    <xf numFmtId="164" fontId="83" fillId="0" borderId="48" xfId="0" applyFont="1" applyBorder="1" applyAlignment="1" applyProtection="1">
      <alignment horizontal="center"/>
      <protection hidden="1"/>
    </xf>
    <xf numFmtId="164" fontId="83" fillId="0" borderId="49" xfId="0" applyFont="1" applyBorder="1" applyAlignment="1" applyProtection="1">
      <alignment horizontal="center"/>
      <protection hidden="1"/>
    </xf>
    <xf numFmtId="171" fontId="83" fillId="0" borderId="50" xfId="0" applyNumberFormat="1" applyFont="1" applyBorder="1" applyAlignment="1" applyProtection="1">
      <alignment/>
      <protection hidden="1"/>
    </xf>
    <xf numFmtId="171" fontId="83" fillId="0" borderId="39" xfId="0" applyNumberFormat="1" applyFont="1" applyBorder="1" applyAlignment="1" applyProtection="1">
      <alignment/>
      <protection hidden="1"/>
    </xf>
    <xf numFmtId="171" fontId="88" fillId="0" borderId="31" xfId="0" applyNumberFormat="1" applyFont="1" applyBorder="1" applyAlignment="1" applyProtection="1">
      <alignment/>
      <protection hidden="1"/>
    </xf>
    <xf numFmtId="164" fontId="74" fillId="0" borderId="0" xfId="0" applyFont="1" applyBorder="1" applyAlignment="1" applyProtection="1">
      <alignment horizontal="left" shrinkToFit="1"/>
      <protection hidden="1"/>
    </xf>
    <xf numFmtId="171" fontId="85" fillId="0" borderId="31" xfId="0" applyNumberFormat="1" applyFont="1" applyBorder="1" applyAlignment="1" applyProtection="1">
      <alignment horizontal="right" vertical="top"/>
      <protection hidden="1"/>
    </xf>
    <xf numFmtId="164" fontId="74" fillId="0" borderId="12" xfId="0" applyFont="1" applyBorder="1" applyAlignment="1" applyProtection="1">
      <alignment horizontal="left"/>
      <protection hidden="1"/>
    </xf>
    <xf numFmtId="164" fontId="82" fillId="0" borderId="31" xfId="0" applyFont="1" applyBorder="1" applyAlignment="1">
      <alignment/>
    </xf>
    <xf numFmtId="164" fontId="53" fillId="0" borderId="31" xfId="0" applyFont="1" applyBorder="1" applyAlignment="1">
      <alignment/>
    </xf>
    <xf numFmtId="164" fontId="74" fillId="0" borderId="9" xfId="0" applyFont="1" applyBorder="1" applyAlignment="1" applyProtection="1">
      <alignment horizontal="left"/>
      <protection hidden="1"/>
    </xf>
    <xf numFmtId="171" fontId="83" fillId="0" borderId="26" xfId="0" applyNumberFormat="1" applyFont="1" applyBorder="1" applyAlignment="1" applyProtection="1">
      <alignment/>
      <protection hidden="1" locked="0"/>
    </xf>
    <xf numFmtId="171" fontId="83" fillId="0" borderId="51" xfId="0" applyNumberFormat="1" applyFont="1" applyBorder="1" applyAlignment="1" applyProtection="1">
      <alignment/>
      <protection hidden="1"/>
    </xf>
    <xf numFmtId="164" fontId="74" fillId="0" borderId="26" xfId="0" applyFont="1" applyBorder="1" applyAlignment="1" applyProtection="1">
      <alignment horizontal="left"/>
      <protection hidden="1"/>
    </xf>
    <xf numFmtId="164" fontId="83" fillId="0" borderId="48" xfId="0" applyFont="1" applyBorder="1" applyAlignment="1" applyProtection="1">
      <alignment horizontal="center" vertical="center"/>
      <protection hidden="1"/>
    </xf>
    <xf numFmtId="164" fontId="83" fillId="0" borderId="49" xfId="0" applyFont="1" applyBorder="1" applyAlignment="1" applyProtection="1">
      <alignment horizontal="center" vertical="center"/>
      <protection hidden="1"/>
    </xf>
    <xf numFmtId="171" fontId="83" fillId="0" borderId="50" xfId="0" applyNumberFormat="1" applyFont="1" applyBorder="1" applyAlignment="1" applyProtection="1">
      <alignment vertical="center"/>
      <protection hidden="1"/>
    </xf>
    <xf numFmtId="164" fontId="83" fillId="0" borderId="46" xfId="0" applyFont="1" applyBorder="1" applyAlignment="1" applyProtection="1">
      <alignment horizontal="center" vertical="center"/>
      <protection hidden="1"/>
    </xf>
    <xf numFmtId="164" fontId="83" fillId="0" borderId="52" xfId="0" applyFont="1" applyBorder="1" applyAlignment="1" applyProtection="1">
      <alignment horizontal="center" vertical="center"/>
      <protection hidden="1"/>
    </xf>
    <xf numFmtId="164" fontId="83" fillId="0" borderId="53" xfId="0" applyFont="1" applyBorder="1" applyAlignment="1" applyProtection="1">
      <alignment horizontal="center" vertical="center"/>
      <protection hidden="1"/>
    </xf>
    <xf numFmtId="171" fontId="83" fillId="0" borderId="54" xfId="0" applyNumberFormat="1" applyFont="1" applyBorder="1" applyAlignment="1" applyProtection="1">
      <alignment vertical="center"/>
      <protection hidden="1"/>
    </xf>
    <xf numFmtId="164" fontId="83" fillId="0" borderId="2" xfId="0" applyFont="1" applyBorder="1" applyAlignment="1" applyProtection="1">
      <alignment horizontal="center"/>
      <protection hidden="1"/>
    </xf>
    <xf numFmtId="164" fontId="83" fillId="0" borderId="21" xfId="0" applyFont="1" applyBorder="1" applyAlignment="1" applyProtection="1">
      <alignment horizontal="center"/>
      <protection hidden="1"/>
    </xf>
    <xf numFmtId="171" fontId="83" fillId="0" borderId="4" xfId="0" applyNumberFormat="1" applyFont="1" applyBorder="1" applyAlignment="1" applyProtection="1">
      <alignment/>
      <protection hidden="1"/>
    </xf>
    <xf numFmtId="164" fontId="74" fillId="0" borderId="0" xfId="0" applyFont="1" applyBorder="1" applyAlignment="1" applyProtection="1">
      <alignment horizontal="right"/>
      <protection hidden="1"/>
    </xf>
    <xf numFmtId="164" fontId="83" fillId="0" borderId="0" xfId="0" applyFont="1" applyBorder="1" applyAlignment="1" applyProtection="1">
      <alignment horizontal="left" indent="2"/>
      <protection hidden="1"/>
    </xf>
    <xf numFmtId="164" fontId="74" fillId="0" borderId="0" xfId="0" applyFont="1" applyBorder="1" applyAlignment="1" applyProtection="1">
      <alignment/>
      <protection hidden="1"/>
    </xf>
    <xf numFmtId="164" fontId="83" fillId="0" borderId="50" xfId="0" applyNumberFormat="1" applyFont="1" applyBorder="1" applyAlignment="1" applyProtection="1">
      <alignment vertical="center"/>
      <protection hidden="1"/>
    </xf>
    <xf numFmtId="164" fontId="53" fillId="15" borderId="0" xfId="0" applyFont="1" applyFill="1" applyAlignment="1">
      <alignment/>
    </xf>
    <xf numFmtId="167" fontId="53" fillId="15" borderId="0" xfId="0" applyNumberFormat="1" applyFont="1" applyFill="1" applyAlignment="1">
      <alignment/>
    </xf>
    <xf numFmtId="171" fontId="53" fillId="15" borderId="0" xfId="0" applyNumberFormat="1" applyFont="1" applyFill="1" applyAlignment="1">
      <alignment/>
    </xf>
    <xf numFmtId="164" fontId="83" fillId="0" borderId="52" xfId="0" applyFont="1" applyBorder="1" applyAlignment="1" applyProtection="1">
      <alignment horizontal="center"/>
      <protection hidden="1"/>
    </xf>
    <xf numFmtId="164" fontId="83" fillId="0" borderId="53" xfId="0" applyFont="1" applyBorder="1" applyAlignment="1" applyProtection="1">
      <alignment horizontal="center"/>
      <protection hidden="1"/>
    </xf>
    <xf numFmtId="164" fontId="88" fillId="0" borderId="0" xfId="0" applyFont="1" applyBorder="1" applyAlignment="1" applyProtection="1">
      <alignment horizontal="left"/>
      <protection hidden="1"/>
    </xf>
    <xf numFmtId="164" fontId="87" fillId="0" borderId="0" xfId="0" applyFont="1" applyBorder="1" applyAlignment="1" applyProtection="1">
      <alignment/>
      <protection hidden="1"/>
    </xf>
    <xf numFmtId="171" fontId="88" fillId="0" borderId="39" xfId="0" applyNumberFormat="1" applyFont="1" applyBorder="1" applyAlignment="1" applyProtection="1">
      <alignment/>
      <protection hidden="1"/>
    </xf>
    <xf numFmtId="165" fontId="58" fillId="0" borderId="0" xfId="0" applyNumberFormat="1" applyFont="1" applyBorder="1" applyAlignment="1">
      <alignment horizontal="right" vertical="center"/>
    </xf>
    <xf numFmtId="164" fontId="53" fillId="21" borderId="0" xfId="0" applyFont="1" applyFill="1" applyAlignment="1">
      <alignment/>
    </xf>
    <xf numFmtId="164" fontId="74" fillId="21" borderId="0" xfId="0" applyFont="1" applyFill="1" applyAlignment="1">
      <alignment/>
    </xf>
    <xf numFmtId="164" fontId="83" fillId="0" borderId="26" xfId="0" applyFont="1" applyBorder="1" applyAlignment="1" applyProtection="1">
      <alignment horizontal="left"/>
      <protection hidden="1"/>
    </xf>
    <xf numFmtId="164" fontId="53" fillId="21" borderId="7" xfId="0" applyFont="1" applyFill="1" applyBorder="1" applyAlignment="1">
      <alignment/>
    </xf>
    <xf numFmtId="164" fontId="83" fillId="0" borderId="12" xfId="0" applyFont="1" applyBorder="1" applyAlignment="1" applyProtection="1">
      <alignment/>
      <protection hidden="1"/>
    </xf>
    <xf numFmtId="164" fontId="83" fillId="0" borderId="0" xfId="0" applyFont="1" applyBorder="1" applyAlignment="1" applyProtection="1">
      <alignment/>
      <protection hidden="1"/>
    </xf>
    <xf numFmtId="164" fontId="83" fillId="0" borderId="26" xfId="0" applyFont="1" applyBorder="1" applyAlignment="1" applyProtection="1">
      <alignment/>
      <protection hidden="1"/>
    </xf>
    <xf numFmtId="164" fontId="83" fillId="0" borderId="0" xfId="0" applyFont="1" applyBorder="1" applyAlignment="1" applyProtection="1">
      <alignment horizontal="left"/>
      <protection hidden="1"/>
    </xf>
    <xf numFmtId="164" fontId="83" fillId="0" borderId="42" xfId="0" applyFont="1" applyBorder="1" applyAlignment="1" applyProtection="1">
      <alignment horizontal="center"/>
      <protection hidden="1"/>
    </xf>
    <xf numFmtId="164" fontId="83" fillId="0" borderId="43" xfId="0" applyFont="1" applyBorder="1" applyAlignment="1" applyProtection="1">
      <alignment horizontal="center"/>
      <protection hidden="1"/>
    </xf>
    <xf numFmtId="171" fontId="88" fillId="0" borderId="44" xfId="0" applyNumberFormat="1" applyFont="1" applyBorder="1" applyAlignment="1" applyProtection="1">
      <alignment/>
      <protection hidden="1"/>
    </xf>
    <xf numFmtId="171" fontId="83" fillId="0" borderId="55" xfId="0" applyNumberFormat="1" applyFont="1" applyBorder="1" applyAlignment="1" applyProtection="1">
      <alignment/>
      <protection hidden="1"/>
    </xf>
    <xf numFmtId="164" fontId="89" fillId="0" borderId="0" xfId="0" applyFont="1" applyBorder="1" applyAlignment="1" applyProtection="1">
      <alignment/>
      <protection hidden="1"/>
    </xf>
    <xf numFmtId="171" fontId="83" fillId="0" borderId="55" xfId="0" applyNumberFormat="1" applyFont="1" applyBorder="1" applyAlignment="1" applyProtection="1">
      <alignment horizontal="right"/>
      <protection hidden="1"/>
    </xf>
    <xf numFmtId="165" fontId="90" fillId="0" borderId="0" xfId="0" applyNumberFormat="1" applyFont="1" applyBorder="1" applyAlignment="1">
      <alignment horizontal="right"/>
    </xf>
    <xf numFmtId="164" fontId="58" fillId="0" borderId="0" xfId="0" applyFont="1" applyBorder="1" applyAlignment="1">
      <alignment/>
    </xf>
    <xf numFmtId="171" fontId="53" fillId="0" borderId="0" xfId="0" applyNumberFormat="1" applyFont="1" applyAlignment="1">
      <alignment/>
    </xf>
    <xf numFmtId="164" fontId="93" fillId="0" borderId="0" xfId="0" applyFont="1" applyBorder="1" applyAlignment="1" applyProtection="1">
      <alignment/>
      <protection hidden="1"/>
    </xf>
    <xf numFmtId="171" fontId="58" fillId="0" borderId="0" xfId="0" applyNumberFormat="1" applyFont="1" applyBorder="1" applyAlignment="1">
      <alignment/>
    </xf>
    <xf numFmtId="164" fontId="83" fillId="0" borderId="49" xfId="0" applyFont="1" applyBorder="1" applyAlignment="1" applyProtection="1">
      <alignment/>
      <protection hidden="1"/>
    </xf>
    <xf numFmtId="164" fontId="89" fillId="0" borderId="0" xfId="0" applyFont="1" applyAlignment="1">
      <alignment/>
    </xf>
    <xf numFmtId="164" fontId="88" fillId="0" borderId="13" xfId="0" applyFont="1" applyBorder="1" applyAlignment="1" applyProtection="1">
      <alignment horizontal="center" vertical="center"/>
      <protection hidden="1"/>
    </xf>
    <xf numFmtId="164" fontId="92" fillId="0" borderId="9" xfId="0" applyFont="1" applyBorder="1" applyAlignment="1" applyProtection="1">
      <alignment horizontal="left" vertical="center"/>
      <protection hidden="1"/>
    </xf>
    <xf numFmtId="164" fontId="92" fillId="0" borderId="48" xfId="0" applyFont="1" applyBorder="1" applyAlignment="1" applyProtection="1">
      <alignment horizontal="center"/>
      <protection hidden="1"/>
    </xf>
    <xf numFmtId="164" fontId="92" fillId="0" borderId="49" xfId="0" applyFont="1" applyBorder="1" applyAlignment="1" applyProtection="1">
      <alignment horizontal="center"/>
      <protection hidden="1"/>
    </xf>
    <xf numFmtId="171" fontId="92" fillId="0" borderId="50" xfId="0" applyNumberFormat="1" applyFont="1" applyBorder="1" applyAlignment="1" applyProtection="1">
      <alignment/>
      <protection hidden="1"/>
    </xf>
    <xf numFmtId="171" fontId="85" fillId="0" borderId="55" xfId="0" applyNumberFormat="1" applyFont="1" applyBorder="1" applyAlignment="1" applyProtection="1">
      <alignment vertical="center"/>
      <protection hidden="1"/>
    </xf>
    <xf numFmtId="164" fontId="58" fillId="0" borderId="0" xfId="0" applyFont="1" applyAlignment="1">
      <alignment/>
    </xf>
    <xf numFmtId="164" fontId="92" fillId="0" borderId="0" xfId="0" applyFont="1" applyBorder="1" applyAlignment="1" applyProtection="1">
      <alignment horizontal="left"/>
      <protection hidden="1"/>
    </xf>
    <xf numFmtId="170" fontId="74" fillId="0" borderId="49" xfId="0" applyNumberFormat="1" applyFont="1" applyBorder="1" applyAlignment="1" applyProtection="1">
      <alignment horizontal="center"/>
      <protection hidden="1"/>
    </xf>
    <xf numFmtId="164" fontId="74" fillId="0" borderId="49" xfId="0" applyFont="1" applyBorder="1" applyAlignment="1" applyProtection="1">
      <alignment horizontal="right"/>
      <protection hidden="1"/>
    </xf>
    <xf numFmtId="171" fontId="74" fillId="0" borderId="49" xfId="0" applyNumberFormat="1" applyFont="1" applyBorder="1" applyAlignment="1" applyProtection="1">
      <alignment horizontal="center"/>
      <protection hidden="1"/>
    </xf>
    <xf numFmtId="171" fontId="92" fillId="0" borderId="31" xfId="0" applyNumberFormat="1" applyFont="1" applyBorder="1" applyAlignment="1" applyProtection="1">
      <alignment/>
      <protection hidden="1"/>
    </xf>
    <xf numFmtId="171" fontId="74" fillId="0" borderId="0" xfId="0" applyNumberFormat="1" applyFont="1" applyBorder="1" applyAlignment="1" applyProtection="1">
      <alignment horizontal="center"/>
      <protection hidden="1"/>
    </xf>
    <xf numFmtId="164" fontId="88" fillId="0" borderId="56" xfId="0" applyFont="1" applyBorder="1" applyAlignment="1" applyProtection="1">
      <alignment horizontal="center"/>
      <protection hidden="1"/>
    </xf>
    <xf numFmtId="164" fontId="88" fillId="0" borderId="57" xfId="0" applyFont="1" applyBorder="1" applyAlignment="1" applyProtection="1">
      <alignment horizontal="left"/>
      <protection hidden="1"/>
    </xf>
    <xf numFmtId="164" fontId="89" fillId="0" borderId="15" xfId="0" applyFont="1" applyBorder="1" applyAlignment="1" applyProtection="1">
      <alignment/>
      <protection hidden="1"/>
    </xf>
    <xf numFmtId="164" fontId="83" fillId="0" borderId="57" xfId="0" applyFont="1" applyBorder="1" applyAlignment="1" applyProtection="1">
      <alignment horizontal="center"/>
      <protection hidden="1"/>
    </xf>
    <xf numFmtId="164" fontId="83" fillId="0" borderId="15" xfId="0" applyFont="1" applyBorder="1" applyAlignment="1" applyProtection="1">
      <alignment horizontal="center"/>
      <protection hidden="1"/>
    </xf>
    <xf numFmtId="165" fontId="83" fillId="0" borderId="8" xfId="0" applyNumberFormat="1" applyFont="1" applyBorder="1" applyAlignment="1" applyProtection="1">
      <alignment/>
      <protection hidden="1"/>
    </xf>
    <xf numFmtId="165" fontId="85" fillId="0" borderId="40" xfId="0" applyNumberFormat="1" applyFont="1" applyBorder="1" applyAlignment="1" applyProtection="1">
      <alignment/>
      <protection hidden="1"/>
    </xf>
    <xf numFmtId="164" fontId="89" fillId="0" borderId="13" xfId="0" applyFont="1" applyBorder="1" applyAlignment="1">
      <alignment horizontal="center"/>
    </xf>
    <xf numFmtId="164" fontId="89" fillId="0" borderId="0" xfId="0" applyFont="1" applyBorder="1" applyAlignment="1">
      <alignment/>
    </xf>
    <xf numFmtId="164" fontId="83" fillId="0" borderId="0" xfId="0" applyFont="1" applyBorder="1" applyAlignment="1">
      <alignment horizontal="center"/>
    </xf>
    <xf numFmtId="165" fontId="83" fillId="0" borderId="0" xfId="0" applyNumberFormat="1" applyFont="1" applyBorder="1" applyAlignment="1">
      <alignment/>
    </xf>
    <xf numFmtId="165" fontId="92" fillId="0" borderId="31" xfId="0" applyNumberFormat="1" applyFont="1" applyBorder="1" applyAlignment="1">
      <alignment/>
    </xf>
    <xf numFmtId="164" fontId="74" fillId="0" borderId="0" xfId="0" applyFont="1" applyBorder="1" applyAlignment="1">
      <alignment/>
    </xf>
    <xf numFmtId="164" fontId="92" fillId="0" borderId="13" xfId="0" applyFont="1" applyBorder="1" applyAlignment="1">
      <alignment horizontal="left"/>
    </xf>
    <xf numFmtId="164" fontId="92" fillId="0" borderId="0" xfId="0" applyFont="1" applyBorder="1" applyAlignment="1">
      <alignment horizontal="left"/>
    </xf>
    <xf numFmtId="164" fontId="92" fillId="0" borderId="31" xfId="0" applyFont="1" applyBorder="1" applyAlignment="1">
      <alignment horizontal="center"/>
    </xf>
    <xf numFmtId="164" fontId="90" fillId="0" borderId="0" xfId="0" applyFont="1" applyBorder="1" applyAlignment="1">
      <alignment horizontal="center"/>
    </xf>
    <xf numFmtId="164" fontId="53" fillId="0" borderId="0" xfId="0" applyFont="1" applyBorder="1" applyAlignment="1">
      <alignment/>
    </xf>
    <xf numFmtId="164" fontId="83" fillId="0" borderId="24" xfId="0" applyFont="1" applyBorder="1" applyAlignment="1">
      <alignment horizontal="left"/>
    </xf>
    <xf numFmtId="164" fontId="89" fillId="0" borderId="33" xfId="0" applyFont="1" applyBorder="1" applyAlignment="1">
      <alignment/>
    </xf>
    <xf numFmtId="164" fontId="83" fillId="0" borderId="25" xfId="0" applyFont="1" applyBorder="1" applyAlignment="1">
      <alignment horizontal="center"/>
    </xf>
    <xf numFmtId="164" fontId="92" fillId="0" borderId="24" xfId="0" applyFont="1" applyBorder="1" applyAlignment="1">
      <alignment horizontal="left"/>
    </xf>
    <xf numFmtId="164" fontId="89" fillId="0" borderId="33" xfId="0" applyFont="1" applyBorder="1" applyAlignment="1">
      <alignment horizontal="left"/>
    </xf>
    <xf numFmtId="164" fontId="83" fillId="0" borderId="33" xfId="0" applyFont="1" applyBorder="1" applyAlignment="1">
      <alignment horizontal="center"/>
    </xf>
    <xf numFmtId="165" fontId="83" fillId="0" borderId="33" xfId="0" applyNumberFormat="1" applyFont="1" applyBorder="1" applyAlignment="1">
      <alignment/>
    </xf>
    <xf numFmtId="165" fontId="92" fillId="0" borderId="25" xfId="0" applyNumberFormat="1" applyFont="1" applyBorder="1" applyAlignment="1">
      <alignment/>
    </xf>
    <xf numFmtId="164" fontId="92" fillId="6" borderId="18" xfId="0" applyFont="1" applyFill="1" applyBorder="1" applyAlignment="1">
      <alignment horizontal="left"/>
    </xf>
    <xf numFmtId="164" fontId="74" fillId="6" borderId="17" xfId="0" applyFont="1" applyFill="1" applyBorder="1" applyAlignment="1">
      <alignment/>
    </xf>
    <xf numFmtId="164" fontId="74" fillId="6" borderId="17" xfId="0" applyFont="1" applyFill="1" applyBorder="1" applyAlignment="1">
      <alignment horizontal="left"/>
    </xf>
    <xf numFmtId="164" fontId="83" fillId="6" borderId="17" xfId="0" applyFont="1" applyFill="1" applyBorder="1" applyAlignment="1">
      <alignment/>
    </xf>
    <xf numFmtId="165" fontId="83" fillId="6" borderId="17" xfId="0" applyNumberFormat="1" applyFont="1" applyFill="1" applyBorder="1" applyAlignment="1">
      <alignment/>
    </xf>
    <xf numFmtId="165" fontId="83" fillId="6" borderId="19" xfId="0" applyNumberFormat="1" applyFont="1" applyFill="1" applyBorder="1" applyAlignment="1">
      <alignment/>
    </xf>
    <xf numFmtId="164" fontId="95" fillId="0" borderId="58" xfId="0" applyFont="1" applyBorder="1" applyAlignment="1" applyProtection="1">
      <alignment horizontal="center" vertical="center" wrapText="1"/>
      <protection hidden="1"/>
    </xf>
    <xf numFmtId="164" fontId="97" fillId="0" borderId="0" xfId="0" applyFont="1" applyBorder="1" applyAlignment="1">
      <alignment horizontal="center" vertical="center" wrapText="1"/>
    </xf>
    <xf numFmtId="164" fontId="74" fillId="0" borderId="59" xfId="0" applyFont="1" applyBorder="1" applyAlignment="1" applyProtection="1">
      <alignment horizontal="center" vertical="center" wrapText="1"/>
      <protection hidden="1"/>
    </xf>
    <xf numFmtId="164" fontId="74" fillId="0" borderId="0" xfId="0" applyFont="1" applyBorder="1" applyAlignment="1">
      <alignment horizontal="center" vertical="center" wrapText="1"/>
    </xf>
    <xf numFmtId="164" fontId="89" fillId="0" borderId="60" xfId="0" applyFont="1" applyBorder="1" applyAlignment="1" applyProtection="1">
      <alignment horizontal="center" vertical="center"/>
      <protection hidden="1"/>
    </xf>
    <xf numFmtId="164" fontId="89" fillId="0" borderId="61" xfId="0" applyFont="1" applyBorder="1" applyAlignment="1" applyProtection="1">
      <alignment horizontal="center" vertical="center"/>
      <protection hidden="1"/>
    </xf>
    <xf numFmtId="164" fontId="89" fillId="0" borderId="0" xfId="0" applyFont="1" applyBorder="1" applyAlignment="1">
      <alignment horizontal="center" vertical="center"/>
    </xf>
    <xf numFmtId="164" fontId="74" fillId="0" borderId="62" xfId="0" applyFont="1" applyBorder="1" applyAlignment="1" applyProtection="1">
      <alignment horizontal="center" vertical="center"/>
      <protection hidden="1"/>
    </xf>
    <xf numFmtId="164" fontId="74" fillId="0" borderId="0" xfId="0" applyFont="1" applyBorder="1" applyAlignment="1" applyProtection="1">
      <alignment horizontal="center" vertical="center"/>
      <protection hidden="1"/>
    </xf>
    <xf numFmtId="164" fontId="74" fillId="0" borderId="12" xfId="0" applyFont="1" applyBorder="1" applyAlignment="1" applyProtection="1">
      <alignment horizontal="center" vertical="center"/>
      <protection hidden="1"/>
    </xf>
    <xf numFmtId="164" fontId="74" fillId="0" borderId="63" xfId="0" applyFont="1" applyBorder="1" applyAlignment="1" applyProtection="1">
      <alignment horizontal="center" vertical="center"/>
      <protection hidden="1"/>
    </xf>
    <xf numFmtId="164" fontId="74" fillId="0" borderId="0" xfId="0" applyFont="1" applyBorder="1" applyAlignment="1">
      <alignment horizontal="center" vertical="center"/>
    </xf>
    <xf numFmtId="171" fontId="83" fillId="0" borderId="62" xfId="0" applyNumberFormat="1" applyFont="1" applyBorder="1" applyAlignment="1" applyProtection="1">
      <alignment horizontal="center"/>
      <protection hidden="1"/>
    </xf>
    <xf numFmtId="164" fontId="83" fillId="0" borderId="64" xfId="0" applyFont="1" applyBorder="1" applyAlignment="1" applyProtection="1">
      <alignment horizontal="left"/>
      <protection hidden="1"/>
    </xf>
    <xf numFmtId="164" fontId="74" fillId="0" borderId="0" xfId="0" applyFont="1" applyBorder="1" applyAlignment="1">
      <alignment horizontal="center"/>
    </xf>
    <xf numFmtId="171" fontId="83" fillId="0" borderId="65" xfId="0" applyNumberFormat="1" applyFont="1" applyBorder="1" applyAlignment="1" applyProtection="1">
      <alignment horizontal="center"/>
      <protection hidden="1"/>
    </xf>
    <xf numFmtId="164" fontId="74" fillId="0" borderId="62" xfId="0" applyFont="1" applyBorder="1" applyAlignment="1" applyProtection="1">
      <alignment horizontal="center"/>
      <protection hidden="1"/>
    </xf>
    <xf numFmtId="164" fontId="74" fillId="0" borderId="64" xfId="0" applyFont="1" applyBorder="1" applyAlignment="1" applyProtection="1">
      <alignment horizontal="center"/>
      <protection hidden="1"/>
    </xf>
    <xf numFmtId="164" fontId="83" fillId="0" borderId="66" xfId="0" applyFont="1" applyBorder="1" applyAlignment="1" applyProtection="1">
      <alignment horizontal="center" vertical="center"/>
      <protection hidden="1"/>
    </xf>
    <xf numFmtId="164" fontId="83" fillId="0" borderId="7" xfId="0" applyFont="1" applyBorder="1" applyAlignment="1" applyProtection="1">
      <alignment horizontal="center" vertical="center"/>
      <protection hidden="1"/>
    </xf>
    <xf numFmtId="164" fontId="74" fillId="0" borderId="21" xfId="0" applyFont="1" applyBorder="1" applyAlignment="1" applyProtection="1">
      <alignment vertical="center"/>
      <protection hidden="1"/>
    </xf>
    <xf numFmtId="164" fontId="92" fillId="0" borderId="7" xfId="0" applyFont="1" applyBorder="1" applyAlignment="1" applyProtection="1">
      <alignment horizontal="center" vertical="center"/>
      <protection hidden="1"/>
    </xf>
    <xf numFmtId="164" fontId="83" fillId="0" borderId="67" xfId="0" applyFont="1" applyBorder="1" applyAlignment="1" applyProtection="1">
      <alignment horizontal="center" vertical="center"/>
      <protection hidden="1"/>
    </xf>
    <xf numFmtId="164" fontId="74" fillId="0" borderId="68" xfId="0" applyFont="1" applyBorder="1" applyAlignment="1" applyProtection="1">
      <alignment horizontal="center" vertical="center" wrapText="1"/>
      <protection hidden="1"/>
    </xf>
    <xf numFmtId="164" fontId="91" fillId="0" borderId="0" xfId="0" applyFont="1" applyBorder="1" applyAlignment="1">
      <alignment horizontal="center" vertical="center"/>
    </xf>
    <xf numFmtId="164" fontId="74" fillId="0" borderId="69" xfId="0" applyFont="1" applyBorder="1" applyAlignment="1" applyProtection="1">
      <alignment horizontal="center" vertical="center"/>
      <protection hidden="1"/>
    </xf>
    <xf numFmtId="164" fontId="74" fillId="0" borderId="14" xfId="0" applyFont="1" applyBorder="1" applyAlignment="1" applyProtection="1">
      <alignment horizontal="center" vertical="center"/>
      <protection hidden="1"/>
    </xf>
    <xf numFmtId="164" fontId="74" fillId="0" borderId="57" xfId="0" applyFont="1" applyBorder="1" applyAlignment="1" applyProtection="1">
      <alignment horizontal="center" vertical="center"/>
      <protection hidden="1"/>
    </xf>
    <xf numFmtId="164" fontId="74" fillId="0" borderId="70" xfId="0" applyFont="1" applyBorder="1" applyAlignment="1" applyProtection="1">
      <alignment horizontal="center" vertical="center"/>
      <protection hidden="1"/>
    </xf>
    <xf numFmtId="164" fontId="74" fillId="0" borderId="71" xfId="0" applyFont="1" applyBorder="1" applyAlignment="1" applyProtection="1">
      <alignment horizontal="center" vertical="center"/>
      <protection hidden="1"/>
    </xf>
    <xf numFmtId="164" fontId="74" fillId="0" borderId="72" xfId="0" applyFont="1" applyBorder="1" applyAlignment="1" applyProtection="1">
      <alignment horizontal="center" vertical="center"/>
      <protection hidden="1"/>
    </xf>
    <xf numFmtId="164" fontId="74" fillId="0" borderId="1" xfId="0" applyFont="1" applyBorder="1" applyAlignment="1" applyProtection="1">
      <alignment horizontal="center" vertical="center"/>
      <protection hidden="1"/>
    </xf>
    <xf numFmtId="170" fontId="88" fillId="0" borderId="2" xfId="0" applyNumberFormat="1" applyFont="1" applyBorder="1" applyAlignment="1" applyProtection="1">
      <alignment horizontal="center" vertical="center"/>
      <protection hidden="1"/>
    </xf>
    <xf numFmtId="170" fontId="88" fillId="0" borderId="1" xfId="0" applyNumberFormat="1" applyFont="1" applyBorder="1" applyAlignment="1" applyProtection="1">
      <alignment horizontal="center" vertical="center"/>
      <protection hidden="1"/>
    </xf>
    <xf numFmtId="164" fontId="88" fillId="0" borderId="73" xfId="0" applyFont="1" applyBorder="1" applyAlignment="1" applyProtection="1">
      <alignment horizontal="center" vertical="center"/>
      <protection hidden="1"/>
    </xf>
    <xf numFmtId="164" fontId="83" fillId="0" borderId="0" xfId="0" applyFont="1" applyBorder="1" applyAlignment="1">
      <alignment horizontal="center" vertical="center"/>
    </xf>
    <xf numFmtId="164" fontId="85" fillId="0" borderId="59" xfId="0" applyFont="1" applyBorder="1" applyAlignment="1" applyProtection="1">
      <alignment horizontal="center" vertical="center"/>
      <protection hidden="1"/>
    </xf>
    <xf numFmtId="164" fontId="85" fillId="0" borderId="0" xfId="0" applyFont="1" applyBorder="1" applyAlignment="1">
      <alignment horizontal="center" vertical="center"/>
    </xf>
    <xf numFmtId="164" fontId="88" fillId="0" borderId="0" xfId="0" applyFont="1" applyBorder="1" applyAlignment="1">
      <alignment vertical="center"/>
    </xf>
    <xf numFmtId="164" fontId="89" fillId="0" borderId="74" xfId="0" applyFont="1" applyBorder="1" applyAlignment="1" applyProtection="1">
      <alignment horizontal="center"/>
      <protection hidden="1"/>
    </xf>
    <xf numFmtId="164" fontId="89" fillId="0" borderId="0" xfId="0" applyFont="1" applyBorder="1" applyAlignment="1">
      <alignment horizontal="center"/>
    </xf>
    <xf numFmtId="164" fontId="88" fillId="0" borderId="62" xfId="0" applyFont="1" applyBorder="1" applyAlignment="1" applyProtection="1">
      <alignment horizontal="center" vertical="center"/>
      <protection hidden="1"/>
    </xf>
    <xf numFmtId="164" fontId="88" fillId="0" borderId="12" xfId="0" applyFont="1" applyBorder="1" applyAlignment="1" applyProtection="1">
      <alignment vertical="center"/>
      <protection hidden="1"/>
    </xf>
    <xf numFmtId="164" fontId="89" fillId="0" borderId="0" xfId="0" applyFont="1" applyBorder="1" applyAlignment="1" applyProtection="1">
      <alignment vertical="center"/>
      <protection hidden="1"/>
    </xf>
    <xf numFmtId="164" fontId="89" fillId="0" borderId="42" xfId="0" applyFont="1" applyBorder="1" applyAlignment="1" applyProtection="1">
      <alignment vertical="center"/>
      <protection hidden="1"/>
    </xf>
    <xf numFmtId="171" fontId="74" fillId="0" borderId="51" xfId="0" applyNumberFormat="1" applyFont="1" applyBorder="1" applyAlignment="1" applyProtection="1">
      <alignment vertical="center"/>
      <protection hidden="1"/>
    </xf>
    <xf numFmtId="165" fontId="89" fillId="0" borderId="0" xfId="0" applyNumberFormat="1" applyFont="1" applyBorder="1" applyAlignment="1" applyProtection="1">
      <alignment vertical="center"/>
      <protection hidden="1"/>
    </xf>
    <xf numFmtId="165" fontId="89" fillId="0" borderId="26" xfId="0" applyNumberFormat="1" applyFont="1" applyBorder="1" applyAlignment="1" applyProtection="1">
      <alignment vertical="center"/>
      <protection hidden="1"/>
    </xf>
    <xf numFmtId="171" fontId="74" fillId="0" borderId="63" xfId="0" applyNumberFormat="1" applyFont="1" applyBorder="1" applyAlignment="1" applyProtection="1">
      <alignment vertical="center"/>
      <protection hidden="1"/>
    </xf>
    <xf numFmtId="165" fontId="89" fillId="0" borderId="0" xfId="0" applyNumberFormat="1" applyFont="1" applyBorder="1" applyAlignment="1">
      <alignment vertical="center"/>
    </xf>
    <xf numFmtId="164" fontId="74" fillId="0" borderId="12" xfId="0" applyFont="1" applyBorder="1" applyAlignment="1" applyProtection="1">
      <alignment vertical="center"/>
      <protection hidden="1"/>
    </xf>
    <xf numFmtId="164" fontId="74" fillId="0" borderId="0" xfId="0" applyFont="1" applyBorder="1" applyAlignment="1" applyProtection="1">
      <alignment vertical="center"/>
      <protection hidden="1"/>
    </xf>
    <xf numFmtId="164" fontId="89" fillId="0" borderId="48" xfId="0" applyFont="1" applyBorder="1" applyAlignment="1" applyProtection="1">
      <alignment vertical="center"/>
      <protection hidden="1"/>
    </xf>
    <xf numFmtId="171" fontId="74" fillId="0" borderId="50" xfId="0" applyNumberFormat="1" applyFont="1" applyBorder="1" applyAlignment="1" applyProtection="1">
      <alignment vertical="center"/>
      <protection hidden="1"/>
    </xf>
    <xf numFmtId="164" fontId="89" fillId="0" borderId="45" xfId="0" applyFont="1" applyBorder="1" applyAlignment="1" applyProtection="1">
      <alignment vertical="center"/>
      <protection hidden="1"/>
    </xf>
    <xf numFmtId="171" fontId="74" fillId="0" borderId="47" xfId="0" applyNumberFormat="1" applyFont="1" applyBorder="1" applyAlignment="1" applyProtection="1">
      <alignment vertical="center"/>
      <protection hidden="1"/>
    </xf>
    <xf numFmtId="164" fontId="91" fillId="0" borderId="0" xfId="0" applyFont="1" applyBorder="1" applyAlignment="1">
      <alignment horizontal="left" vertical="center"/>
    </xf>
    <xf numFmtId="165" fontId="74" fillId="0" borderId="0" xfId="0" applyNumberFormat="1" applyFont="1" applyAlignment="1">
      <alignment/>
    </xf>
    <xf numFmtId="164" fontId="89" fillId="0" borderId="52" xfId="0" applyFont="1" applyBorder="1" applyAlignment="1" applyProtection="1">
      <alignment vertical="center"/>
      <protection hidden="1"/>
    </xf>
    <xf numFmtId="171" fontId="74" fillId="0" borderId="54" xfId="0" applyNumberFormat="1" applyFont="1" applyBorder="1" applyAlignment="1" applyProtection="1">
      <alignment vertical="center"/>
      <protection hidden="1"/>
    </xf>
    <xf numFmtId="164" fontId="88" fillId="0" borderId="0" xfId="0" applyFont="1" applyBorder="1" applyAlignment="1" applyProtection="1">
      <alignment horizontal="left" vertical="center"/>
      <protection hidden="1"/>
    </xf>
    <xf numFmtId="164" fontId="89" fillId="0" borderId="12" xfId="0" applyFont="1" applyBorder="1" applyAlignment="1" applyProtection="1">
      <alignment vertical="center"/>
      <protection hidden="1"/>
    </xf>
    <xf numFmtId="171" fontId="74" fillId="0" borderId="26" xfId="0" applyNumberFormat="1" applyFont="1" applyBorder="1" applyAlignment="1" applyProtection="1">
      <alignment vertical="center"/>
      <protection hidden="1"/>
    </xf>
    <xf numFmtId="171" fontId="83" fillId="0" borderId="63" xfId="0" applyNumberFormat="1" applyFont="1" applyBorder="1" applyAlignment="1" applyProtection="1">
      <alignment vertical="center"/>
      <protection hidden="1"/>
    </xf>
    <xf numFmtId="165" fontId="92" fillId="0" borderId="0" xfId="0" applyNumberFormat="1" applyFont="1" applyBorder="1" applyAlignment="1">
      <alignment vertical="center"/>
    </xf>
    <xf numFmtId="171" fontId="74" fillId="0" borderId="0" xfId="0" applyNumberFormat="1" applyFont="1" applyBorder="1" applyAlignment="1" applyProtection="1">
      <alignment vertical="center"/>
      <protection hidden="1"/>
    </xf>
    <xf numFmtId="165" fontId="89" fillId="0" borderId="12" xfId="0" applyNumberFormat="1" applyFont="1" applyBorder="1" applyAlignment="1" applyProtection="1">
      <alignment vertical="center"/>
      <protection hidden="1"/>
    </xf>
    <xf numFmtId="164" fontId="91" fillId="0" borderId="0" xfId="0" applyFont="1" applyAlignment="1">
      <alignment horizontal="left" vertical="center"/>
    </xf>
    <xf numFmtId="164" fontId="74" fillId="0" borderId="26" xfId="0" applyFont="1" applyBorder="1" applyAlignment="1" applyProtection="1">
      <alignment vertical="center"/>
      <protection hidden="1"/>
    </xf>
    <xf numFmtId="164" fontId="89" fillId="0" borderId="49" xfId="0" applyFont="1" applyBorder="1" applyAlignment="1" applyProtection="1">
      <alignment vertical="center"/>
      <protection hidden="1"/>
    </xf>
    <xf numFmtId="171" fontId="74" fillId="0" borderId="49" xfId="0" applyNumberFormat="1" applyFont="1" applyBorder="1" applyAlignment="1" applyProtection="1">
      <alignment vertical="center"/>
      <protection hidden="1"/>
    </xf>
    <xf numFmtId="165" fontId="89" fillId="0" borderId="57" xfId="0" applyNumberFormat="1" applyFont="1" applyBorder="1" applyAlignment="1" applyProtection="1">
      <alignment vertical="center"/>
      <protection hidden="1"/>
    </xf>
    <xf numFmtId="171" fontId="74" fillId="0" borderId="73" xfId="0" applyNumberFormat="1" applyFont="1" applyBorder="1" applyAlignment="1" applyProtection="1">
      <alignment vertical="center"/>
      <protection hidden="1"/>
    </xf>
    <xf numFmtId="164" fontId="88" fillId="0" borderId="9" xfId="0" applyFont="1" applyBorder="1" applyAlignment="1" applyProtection="1">
      <alignment vertical="center"/>
      <protection hidden="1"/>
    </xf>
    <xf numFmtId="164" fontId="89" fillId="0" borderId="26" xfId="0" applyFont="1" applyBorder="1" applyAlignment="1" applyProtection="1">
      <alignment vertical="center"/>
      <protection hidden="1"/>
    </xf>
    <xf numFmtId="165" fontId="89" fillId="0" borderId="75" xfId="0" applyNumberFormat="1" applyFont="1" applyBorder="1" applyAlignment="1" applyProtection="1">
      <alignment vertical="center"/>
      <protection hidden="1"/>
    </xf>
    <xf numFmtId="171" fontId="83" fillId="0" borderId="76" xfId="0" applyNumberFormat="1" applyFont="1" applyBorder="1" applyAlignment="1" applyProtection="1">
      <alignment vertical="center"/>
      <protection hidden="1"/>
    </xf>
    <xf numFmtId="165" fontId="89" fillId="0" borderId="48" xfId="0" applyNumberFormat="1" applyFont="1" applyBorder="1" applyAlignment="1" applyProtection="1">
      <alignment vertical="center"/>
      <protection hidden="1"/>
    </xf>
    <xf numFmtId="171" fontId="74" fillId="0" borderId="77" xfId="0" applyNumberFormat="1" applyFont="1" applyBorder="1" applyAlignment="1" applyProtection="1">
      <alignment vertical="center"/>
      <protection hidden="1"/>
    </xf>
    <xf numFmtId="165" fontId="89" fillId="0" borderId="52" xfId="0" applyNumberFormat="1" applyFont="1" applyBorder="1" applyAlignment="1" applyProtection="1">
      <alignment vertical="center"/>
      <protection hidden="1"/>
    </xf>
    <xf numFmtId="171" fontId="74" fillId="0" borderId="78" xfId="0" applyNumberFormat="1" applyFont="1" applyBorder="1" applyAlignment="1" applyProtection="1">
      <alignment vertical="center"/>
      <protection hidden="1"/>
    </xf>
    <xf numFmtId="164" fontId="87" fillId="0" borderId="0" xfId="0" applyFont="1" applyBorder="1" applyAlignment="1" applyProtection="1">
      <alignment vertical="center"/>
      <protection hidden="1"/>
    </xf>
    <xf numFmtId="171" fontId="89" fillId="0" borderId="26" xfId="0" applyNumberFormat="1" applyFont="1" applyBorder="1" applyAlignment="1" applyProtection="1">
      <alignment vertical="center"/>
      <protection hidden="1"/>
    </xf>
    <xf numFmtId="164" fontId="88" fillId="0" borderId="62" xfId="0" applyFont="1" applyBorder="1" applyAlignment="1" applyProtection="1">
      <alignment horizontal="right" vertical="center"/>
      <protection hidden="1"/>
    </xf>
    <xf numFmtId="164" fontId="83" fillId="0" borderId="12" xfId="0" applyFont="1" applyBorder="1" applyAlignment="1" applyProtection="1">
      <alignment vertical="center"/>
      <protection hidden="1"/>
    </xf>
    <xf numFmtId="164" fontId="88" fillId="0" borderId="0" xfId="0" applyFont="1" applyBorder="1" applyAlignment="1" applyProtection="1">
      <alignment vertical="center"/>
      <protection hidden="1"/>
    </xf>
    <xf numFmtId="164" fontId="74" fillId="0" borderId="9" xfId="0" applyFont="1" applyBorder="1" applyAlignment="1" applyProtection="1">
      <alignment horizontal="center" vertical="center"/>
      <protection hidden="1"/>
    </xf>
    <xf numFmtId="164" fontId="89" fillId="0" borderId="0" xfId="0" applyFont="1" applyBorder="1" applyAlignment="1">
      <alignment vertical="center"/>
    </xf>
    <xf numFmtId="164" fontId="92" fillId="0" borderId="0" xfId="0" applyFont="1" applyBorder="1" applyAlignment="1" applyProtection="1">
      <alignment vertical="center"/>
      <protection hidden="1"/>
    </xf>
    <xf numFmtId="165" fontId="89" fillId="0" borderId="12" xfId="0" applyNumberFormat="1" applyFont="1" applyBorder="1" applyAlignment="1" applyProtection="1">
      <alignment horizontal="right" vertical="center"/>
      <protection hidden="1"/>
    </xf>
    <xf numFmtId="165" fontId="89" fillId="0" borderId="49" xfId="0" applyNumberFormat="1" applyFont="1" applyBorder="1" applyAlignment="1" applyProtection="1">
      <alignment vertical="center"/>
      <protection hidden="1"/>
    </xf>
    <xf numFmtId="165" fontId="83" fillId="0" borderId="0" xfId="0" applyNumberFormat="1" applyFont="1" applyAlignment="1">
      <alignment/>
    </xf>
    <xf numFmtId="165" fontId="91" fillId="0" borderId="12" xfId="0" applyNumberFormat="1" applyFont="1" applyBorder="1" applyAlignment="1" applyProtection="1">
      <alignment horizontal="right" vertical="center"/>
      <protection hidden="1"/>
    </xf>
    <xf numFmtId="165" fontId="89" fillId="0" borderId="46" xfId="0" applyNumberFormat="1" applyFont="1" applyBorder="1" applyAlignment="1" applyProtection="1">
      <alignment vertical="center"/>
      <protection hidden="1"/>
    </xf>
    <xf numFmtId="165" fontId="89" fillId="0" borderId="15" xfId="0" applyNumberFormat="1" applyFont="1" applyBorder="1" applyAlignment="1" applyProtection="1">
      <alignment vertical="center"/>
      <protection hidden="1"/>
    </xf>
    <xf numFmtId="165" fontId="89" fillId="0" borderId="45" xfId="0" applyNumberFormat="1" applyFont="1" applyBorder="1" applyAlignment="1" applyProtection="1">
      <alignment vertical="center"/>
      <protection hidden="1"/>
    </xf>
    <xf numFmtId="165" fontId="89" fillId="0" borderId="0" xfId="0" applyNumberFormat="1" applyFont="1" applyBorder="1" applyAlignment="1" applyProtection="1">
      <alignment horizontal="left" vertical="center"/>
      <protection hidden="1"/>
    </xf>
    <xf numFmtId="165" fontId="89" fillId="0" borderId="21" xfId="0" applyNumberFormat="1" applyFont="1" applyBorder="1" applyAlignment="1" applyProtection="1">
      <alignment vertical="center"/>
      <protection hidden="1"/>
    </xf>
    <xf numFmtId="167" fontId="74" fillId="0" borderId="0" xfId="0" applyNumberFormat="1" applyFont="1" applyAlignment="1">
      <alignment/>
    </xf>
    <xf numFmtId="165" fontId="83" fillId="0" borderId="9" xfId="0" applyNumberFormat="1" applyFont="1" applyBorder="1" applyAlignment="1" applyProtection="1">
      <alignment horizontal="left" vertical="center"/>
      <protection hidden="1"/>
    </xf>
    <xf numFmtId="165" fontId="92" fillId="0" borderId="0" xfId="0" applyNumberFormat="1" applyFont="1" applyBorder="1" applyAlignment="1" applyProtection="1">
      <alignment vertical="center"/>
      <protection hidden="1"/>
    </xf>
    <xf numFmtId="167" fontId="74" fillId="0" borderId="0" xfId="0" applyNumberFormat="1" applyFont="1" applyBorder="1" applyAlignment="1">
      <alignment/>
    </xf>
    <xf numFmtId="171" fontId="83" fillId="0" borderId="0" xfId="0" applyNumberFormat="1" applyFont="1" applyBorder="1" applyAlignment="1">
      <alignment vertical="center"/>
    </xf>
    <xf numFmtId="165" fontId="88" fillId="0" borderId="12" xfId="0" applyNumberFormat="1" applyFont="1" applyBorder="1" applyAlignment="1" applyProtection="1">
      <alignment vertical="center"/>
      <protection hidden="1"/>
    </xf>
    <xf numFmtId="165" fontId="88" fillId="0" borderId="0" xfId="0" applyNumberFormat="1" applyFont="1" applyBorder="1" applyAlignment="1" applyProtection="1">
      <alignment vertical="center"/>
      <protection hidden="1"/>
    </xf>
    <xf numFmtId="165" fontId="74" fillId="0" borderId="26" xfId="0" applyNumberFormat="1" applyFont="1" applyBorder="1" applyAlignment="1" applyProtection="1">
      <alignment vertical="center"/>
      <protection hidden="1"/>
    </xf>
    <xf numFmtId="165" fontId="92" fillId="0" borderId="49" xfId="0" applyNumberFormat="1" applyFont="1" applyBorder="1" applyAlignment="1" applyProtection="1">
      <alignment vertical="center"/>
      <protection hidden="1"/>
    </xf>
    <xf numFmtId="171" fontId="83" fillId="0" borderId="77" xfId="0" applyNumberFormat="1" applyFont="1" applyBorder="1" applyAlignment="1" applyProtection="1">
      <alignment vertical="center"/>
      <protection hidden="1"/>
    </xf>
    <xf numFmtId="171" fontId="74" fillId="0" borderId="0" xfId="0" applyNumberFormat="1" applyFont="1" applyAlignment="1">
      <alignment/>
    </xf>
    <xf numFmtId="171" fontId="83" fillId="0" borderId="0" xfId="0" applyNumberFormat="1" applyFont="1" applyBorder="1" applyAlignment="1">
      <alignment/>
    </xf>
    <xf numFmtId="165" fontId="92" fillId="0" borderId="52" xfId="0" applyNumberFormat="1" applyFont="1" applyBorder="1" applyAlignment="1" applyProtection="1">
      <alignment vertical="center"/>
      <protection hidden="1"/>
    </xf>
    <xf numFmtId="171" fontId="83" fillId="0" borderId="78" xfId="0" applyNumberFormat="1" applyFont="1" applyBorder="1" applyAlignment="1" applyProtection="1">
      <alignment vertical="center"/>
      <protection hidden="1"/>
    </xf>
    <xf numFmtId="165" fontId="88" fillId="0" borderId="9" xfId="0" applyNumberFormat="1" applyFont="1" applyBorder="1" applyAlignment="1" applyProtection="1">
      <alignment vertical="center"/>
      <protection hidden="1"/>
    </xf>
    <xf numFmtId="165" fontId="92" fillId="0" borderId="6" xfId="0" applyNumberFormat="1" applyFont="1" applyBorder="1" applyAlignment="1" applyProtection="1">
      <alignment vertical="center"/>
      <protection hidden="1"/>
    </xf>
    <xf numFmtId="171" fontId="83" fillId="0" borderId="79" xfId="0" applyNumberFormat="1" applyFont="1" applyBorder="1" applyAlignment="1" applyProtection="1">
      <alignment/>
      <protection hidden="1"/>
    </xf>
    <xf numFmtId="164" fontId="83" fillId="0" borderId="0" xfId="0" applyFont="1" applyBorder="1" applyAlignment="1">
      <alignment/>
    </xf>
    <xf numFmtId="165" fontId="83" fillId="0" borderId="0" xfId="0" applyNumberFormat="1" applyFont="1" applyBorder="1" applyAlignment="1">
      <alignment horizontal="right"/>
    </xf>
    <xf numFmtId="164" fontId="88" fillId="0" borderId="65" xfId="0" applyFont="1" applyBorder="1" applyAlignment="1" applyProtection="1">
      <alignment horizontal="right" vertical="center"/>
      <protection hidden="1"/>
    </xf>
    <xf numFmtId="164" fontId="84" fillId="0" borderId="62" xfId="0" applyFont="1" applyBorder="1" applyAlignment="1" applyProtection="1">
      <alignment vertical="center"/>
      <protection hidden="1"/>
    </xf>
    <xf numFmtId="164" fontId="89" fillId="0" borderId="63" xfId="0" applyFont="1" applyBorder="1" applyAlignment="1" applyProtection="1">
      <alignment vertical="center"/>
      <protection hidden="1"/>
    </xf>
    <xf numFmtId="164" fontId="84" fillId="0" borderId="80" xfId="0" applyFont="1" applyBorder="1" applyAlignment="1" applyProtection="1">
      <alignment vertical="center"/>
      <protection hidden="1"/>
    </xf>
    <xf numFmtId="164" fontId="89" fillId="0" borderId="81" xfId="0" applyFont="1" applyBorder="1" applyAlignment="1" applyProtection="1">
      <alignment vertical="center"/>
      <protection hidden="1"/>
    </xf>
    <xf numFmtId="164" fontId="87" fillId="0" borderId="0" xfId="0" applyFont="1" applyBorder="1" applyAlignment="1">
      <alignment horizontal="left"/>
    </xf>
    <xf numFmtId="164" fontId="84" fillId="0" borderId="0" xfId="0" applyFont="1" applyBorder="1" applyAlignment="1">
      <alignment horizontal="center"/>
    </xf>
    <xf numFmtId="164" fontId="89" fillId="0" borderId="0" xfId="0" applyFont="1" applyBorder="1" applyAlignment="1">
      <alignment horizontal="left"/>
    </xf>
    <xf numFmtId="164" fontId="89" fillId="0" borderId="82" xfId="0" applyFont="1" applyBorder="1" applyAlignment="1" applyProtection="1">
      <alignment horizontal="center" vertical="center"/>
      <protection hidden="1"/>
    </xf>
    <xf numFmtId="171" fontId="83" fillId="0" borderId="65" xfId="0" applyNumberFormat="1" applyFont="1" applyBorder="1" applyAlignment="1" applyProtection="1">
      <alignment horizontal="left" indent="1"/>
      <protection hidden="1"/>
    </xf>
    <xf numFmtId="164" fontId="83" fillId="0" borderId="64" xfId="0" applyFont="1" applyBorder="1" applyAlignment="1" applyProtection="1">
      <alignment horizontal="left" indent="1"/>
      <protection hidden="1"/>
    </xf>
    <xf numFmtId="164" fontId="74" fillId="0" borderId="65" xfId="0" applyFont="1" applyBorder="1" applyAlignment="1" applyProtection="1">
      <alignment horizontal="center"/>
      <protection hidden="1"/>
    </xf>
    <xf numFmtId="164" fontId="74" fillId="0" borderId="83" xfId="0" applyFont="1" applyBorder="1" applyAlignment="1" applyProtection="1">
      <alignment horizontal="center"/>
      <protection hidden="1"/>
    </xf>
    <xf numFmtId="164" fontId="74" fillId="0" borderId="68" xfId="0" applyFont="1" applyBorder="1" applyAlignment="1" applyProtection="1">
      <alignment horizontal="left" vertical="center" wrapText="1"/>
      <protection hidden="1"/>
    </xf>
    <xf numFmtId="170" fontId="88" fillId="0" borderId="1" xfId="0" applyNumberFormat="1" applyFont="1" applyBorder="1" applyAlignment="1" applyProtection="1">
      <alignment horizontal="center" vertical="center"/>
      <protection hidden="1" locked="0"/>
    </xf>
    <xf numFmtId="164" fontId="88" fillId="0" borderId="84" xfId="0" applyFont="1" applyBorder="1" applyAlignment="1" applyProtection="1">
      <alignment horizontal="center" vertical="center"/>
      <protection hidden="1"/>
    </xf>
    <xf numFmtId="164" fontId="88" fillId="0" borderId="85" xfId="0" applyFont="1" applyBorder="1" applyAlignment="1" applyProtection="1">
      <alignment horizontal="center" vertical="center"/>
      <protection hidden="1"/>
    </xf>
    <xf numFmtId="164" fontId="74" fillId="0" borderId="9" xfId="0" applyFont="1" applyBorder="1" applyAlignment="1" applyProtection="1">
      <alignment vertical="center"/>
      <protection hidden="1"/>
    </xf>
    <xf numFmtId="164" fontId="74" fillId="0" borderId="9" xfId="0" applyFont="1" applyBorder="1" applyAlignment="1" applyProtection="1">
      <alignment horizontal="left" vertical="center"/>
      <protection hidden="1"/>
    </xf>
    <xf numFmtId="165" fontId="89" fillId="0" borderId="12" xfId="0" applyNumberFormat="1" applyFont="1" applyBorder="1" applyAlignment="1" applyProtection="1">
      <alignment horizontal="left" vertical="center"/>
      <protection hidden="1"/>
    </xf>
    <xf numFmtId="165" fontId="91" fillId="0" borderId="12" xfId="0" applyNumberFormat="1" applyFont="1" applyBorder="1" applyAlignment="1" applyProtection="1">
      <alignment horizontal="left" vertical="center"/>
      <protection hidden="1"/>
    </xf>
    <xf numFmtId="165" fontId="83" fillId="0" borderId="0" xfId="0" applyNumberFormat="1" applyFont="1" applyBorder="1" applyAlignment="1" applyProtection="1">
      <alignment vertical="center"/>
      <protection hidden="1"/>
    </xf>
    <xf numFmtId="164" fontId="87" fillId="6" borderId="86" xfId="0" applyFont="1" applyFill="1" applyBorder="1" applyAlignment="1">
      <alignment horizontal="center"/>
    </xf>
    <xf numFmtId="164" fontId="88" fillId="0" borderId="87" xfId="0" applyFont="1" applyBorder="1" applyAlignment="1" applyProtection="1">
      <alignment horizontal="right"/>
      <protection hidden="1"/>
    </xf>
    <xf numFmtId="164" fontId="88" fillId="0" borderId="86" xfId="0" applyFont="1" applyBorder="1" applyAlignment="1" applyProtection="1">
      <alignment horizontal="left"/>
      <protection hidden="1"/>
    </xf>
    <xf numFmtId="164" fontId="74" fillId="0" borderId="86" xfId="0" applyFont="1" applyBorder="1" applyAlignment="1" applyProtection="1">
      <alignment horizontal="center"/>
      <protection hidden="1"/>
    </xf>
    <xf numFmtId="164" fontId="89" fillId="0" borderId="88" xfId="0" applyFont="1" applyBorder="1" applyAlignment="1" applyProtection="1">
      <alignment horizontal="center" vertical="center"/>
      <protection hidden="1"/>
    </xf>
    <xf numFmtId="164" fontId="89" fillId="0" borderId="86" xfId="0" applyFont="1" applyBorder="1" applyAlignment="1" applyProtection="1">
      <alignment/>
      <protection hidden="1"/>
    </xf>
    <xf numFmtId="171" fontId="89" fillId="0" borderId="89" xfId="0" applyNumberFormat="1" applyFont="1" applyBorder="1" applyAlignment="1" applyProtection="1">
      <alignment/>
      <protection hidden="1"/>
    </xf>
    <xf numFmtId="164" fontId="88" fillId="0" borderId="65" xfId="0" applyFont="1" applyBorder="1" applyAlignment="1" applyProtection="1">
      <alignment horizontal="center"/>
      <protection hidden="1"/>
    </xf>
    <xf numFmtId="164" fontId="88" fillId="0" borderId="0" xfId="0" applyFont="1" applyBorder="1" applyAlignment="1" applyProtection="1">
      <alignment horizontal="left" vertical="top"/>
      <protection hidden="1"/>
    </xf>
    <xf numFmtId="164" fontId="74" fillId="0" borderId="0" xfId="0" applyFont="1" applyBorder="1" applyAlignment="1" applyProtection="1">
      <alignment horizontal="center" vertical="top"/>
      <protection hidden="1"/>
    </xf>
    <xf numFmtId="164" fontId="74" fillId="0" borderId="90" xfId="0" applyFont="1" applyBorder="1" applyAlignment="1" applyProtection="1">
      <alignment horizontal="center" vertical="top"/>
      <protection hidden="1"/>
    </xf>
    <xf numFmtId="171" fontId="89" fillId="0" borderId="63" xfId="0" applyNumberFormat="1" applyFont="1" applyBorder="1" applyAlignment="1" applyProtection="1">
      <alignment/>
      <protection hidden="1"/>
    </xf>
    <xf numFmtId="164" fontId="74" fillId="0" borderId="0" xfId="0" applyFont="1" applyBorder="1" applyAlignment="1">
      <alignment vertical="center"/>
    </xf>
    <xf numFmtId="164" fontId="87" fillId="0" borderId="65" xfId="0" applyFont="1" applyBorder="1" applyAlignment="1" applyProtection="1">
      <alignment/>
      <protection hidden="1"/>
    </xf>
    <xf numFmtId="164" fontId="89" fillId="0" borderId="12" xfId="0" applyFont="1" applyBorder="1" applyAlignment="1" applyProtection="1">
      <alignment horizontal="left" indent="1"/>
      <protection hidden="1"/>
    </xf>
    <xf numFmtId="164" fontId="74" fillId="0" borderId="49" xfId="0" applyFont="1" applyBorder="1" applyAlignment="1" applyProtection="1">
      <alignment/>
      <protection hidden="1"/>
    </xf>
    <xf numFmtId="171" fontId="74" fillId="0" borderId="49" xfId="0" applyNumberFormat="1" applyFont="1" applyBorder="1" applyAlignment="1" applyProtection="1">
      <alignment/>
      <protection hidden="1"/>
    </xf>
    <xf numFmtId="171" fontId="74" fillId="0" borderId="91" xfId="0" applyNumberFormat="1" applyFont="1" applyBorder="1" applyAlignment="1" applyProtection="1">
      <alignment/>
      <protection hidden="1"/>
    </xf>
    <xf numFmtId="171" fontId="74" fillId="0" borderId="92" xfId="0" applyNumberFormat="1" applyFont="1" applyBorder="1" applyAlignment="1" applyProtection="1">
      <alignment/>
      <protection hidden="1"/>
    </xf>
    <xf numFmtId="165" fontId="74" fillId="0" borderId="0" xfId="0" applyNumberFormat="1" applyFont="1" applyBorder="1" applyAlignment="1">
      <alignment horizontal="right" vertical="center"/>
    </xf>
    <xf numFmtId="171" fontId="74" fillId="0" borderId="0" xfId="0" applyNumberFormat="1" applyFont="1" applyBorder="1" applyAlignment="1">
      <alignment/>
    </xf>
    <xf numFmtId="164" fontId="89" fillId="0" borderId="12" xfId="0" applyFont="1" applyBorder="1" applyAlignment="1" applyProtection="1">
      <alignment horizontal="left" indent="1" shrinkToFit="1"/>
      <protection hidden="1"/>
    </xf>
    <xf numFmtId="164" fontId="74" fillId="0" borderId="0" xfId="0" applyFont="1" applyAlignment="1" applyProtection="1">
      <alignment/>
      <protection hidden="1"/>
    </xf>
    <xf numFmtId="164" fontId="89" fillId="0" borderId="12" xfId="0" applyFont="1" applyFill="1" applyBorder="1" applyAlignment="1" applyProtection="1">
      <alignment horizontal="left" indent="1"/>
      <protection hidden="1"/>
    </xf>
    <xf numFmtId="164" fontId="74" fillId="0" borderId="49" xfId="0" applyFont="1" applyFill="1" applyBorder="1" applyAlignment="1" applyProtection="1">
      <alignment/>
      <protection hidden="1"/>
    </xf>
    <xf numFmtId="171" fontId="74" fillId="0" borderId="0" xfId="0" applyNumberFormat="1" applyFont="1" applyFill="1" applyAlignment="1" applyProtection="1">
      <alignment/>
      <protection hidden="1"/>
    </xf>
    <xf numFmtId="171" fontId="74" fillId="0" borderId="49" xfId="0" applyNumberFormat="1" applyFont="1" applyFill="1" applyBorder="1" applyAlignment="1" applyProtection="1">
      <alignment/>
      <protection hidden="1"/>
    </xf>
    <xf numFmtId="171" fontId="74" fillId="0" borderId="92" xfId="0" applyNumberFormat="1" applyFont="1" applyFill="1" applyBorder="1" applyAlignment="1" applyProtection="1">
      <alignment/>
      <protection hidden="1"/>
    </xf>
    <xf numFmtId="167" fontId="74" fillId="0" borderId="0" xfId="0" applyNumberFormat="1" applyFont="1" applyAlignment="1" applyProtection="1">
      <alignment/>
      <protection hidden="1"/>
    </xf>
    <xf numFmtId="164" fontId="88" fillId="0" borderId="93" xfId="0" applyFont="1" applyBorder="1" applyAlignment="1" applyProtection="1">
      <alignment vertical="center"/>
      <protection hidden="1"/>
    </xf>
    <xf numFmtId="164" fontId="88" fillId="0" borderId="94" xfId="0" applyFont="1" applyBorder="1" applyAlignment="1" applyProtection="1">
      <alignment vertical="center"/>
      <protection hidden="1"/>
    </xf>
    <xf numFmtId="164" fontId="74" fillId="0" borderId="95" xfId="0" applyFont="1" applyBorder="1" applyAlignment="1" applyProtection="1">
      <alignment vertical="center"/>
      <protection hidden="1"/>
    </xf>
    <xf numFmtId="171" fontId="83" fillId="0" borderId="96" xfId="0" applyNumberFormat="1" applyFont="1" applyBorder="1" applyAlignment="1" applyProtection="1">
      <alignment vertical="center"/>
      <protection hidden="1"/>
    </xf>
    <xf numFmtId="164" fontId="92" fillId="0" borderId="0" xfId="0" applyFont="1" applyBorder="1" applyAlignment="1">
      <alignment vertical="center"/>
    </xf>
    <xf numFmtId="164" fontId="83" fillId="0" borderId="0" xfId="0" applyFont="1" applyBorder="1" applyAlignment="1">
      <alignment vertical="center"/>
    </xf>
    <xf numFmtId="164" fontId="83" fillId="0" borderId="97" xfId="0" applyFont="1" applyBorder="1" applyAlignment="1" applyProtection="1">
      <alignment horizontal="left"/>
      <protection hidden="1"/>
    </xf>
    <xf numFmtId="164" fontId="89" fillId="0" borderId="93" xfId="0" applyFont="1" applyBorder="1" applyAlignment="1" applyProtection="1">
      <alignment/>
      <protection hidden="1"/>
    </xf>
    <xf numFmtId="164" fontId="89" fillId="0" borderId="94" xfId="0" applyFont="1" applyBorder="1" applyAlignment="1" applyProtection="1">
      <alignment/>
      <protection hidden="1"/>
    </xf>
    <xf numFmtId="164" fontId="74" fillId="0" borderId="95" xfId="0" applyFont="1" applyBorder="1" applyAlignment="1" applyProtection="1">
      <alignment/>
      <protection hidden="1"/>
    </xf>
    <xf numFmtId="171" fontId="83" fillId="0" borderId="96" xfId="0" applyNumberFormat="1" applyFont="1" applyBorder="1" applyAlignment="1" applyProtection="1">
      <alignment/>
      <protection hidden="1"/>
    </xf>
    <xf numFmtId="164" fontId="92" fillId="0" borderId="0" xfId="0" applyFont="1" applyBorder="1" applyAlignment="1">
      <alignment/>
    </xf>
    <xf numFmtId="164" fontId="88" fillId="0" borderId="0" xfId="0" applyFont="1" applyBorder="1" applyAlignment="1">
      <alignment/>
    </xf>
    <xf numFmtId="171" fontId="74" fillId="0" borderId="63" xfId="0" applyNumberFormat="1" applyFont="1" applyBorder="1" applyAlignment="1" applyProtection="1">
      <alignment/>
      <protection hidden="1"/>
    </xf>
    <xf numFmtId="171" fontId="83" fillId="0" borderId="63" xfId="0" applyNumberFormat="1" applyFont="1" applyBorder="1" applyAlignment="1" applyProtection="1">
      <alignment horizontal="right"/>
      <protection hidden="1"/>
    </xf>
    <xf numFmtId="167" fontId="89" fillId="0" borderId="0" xfId="0" applyNumberFormat="1" applyFont="1" applyBorder="1" applyAlignment="1">
      <alignment horizontal="right"/>
    </xf>
    <xf numFmtId="167" fontId="88" fillId="0" borderId="0" xfId="0" applyNumberFormat="1" applyFont="1" applyBorder="1" applyAlignment="1">
      <alignment/>
    </xf>
    <xf numFmtId="164" fontId="88" fillId="0" borderId="94" xfId="0" applyFont="1" applyBorder="1" applyAlignment="1" applyProtection="1">
      <alignment horizontal="left"/>
      <protection hidden="1"/>
    </xf>
    <xf numFmtId="164" fontId="74" fillId="0" borderId="98" xfId="0" applyFont="1" applyBorder="1" applyAlignment="1" applyProtection="1">
      <alignment/>
      <protection hidden="1"/>
    </xf>
    <xf numFmtId="171" fontId="74" fillId="0" borderId="77" xfId="0" applyNumberFormat="1" applyFont="1" applyBorder="1" applyAlignment="1" applyProtection="1">
      <alignment/>
      <protection hidden="1"/>
    </xf>
    <xf numFmtId="165" fontId="89" fillId="0" borderId="0" xfId="0" applyNumberFormat="1" applyFont="1" applyBorder="1" applyAlignment="1">
      <alignment/>
    </xf>
    <xf numFmtId="165" fontId="74" fillId="0" borderId="0" xfId="0" applyNumberFormat="1" applyFont="1" applyBorder="1" applyAlignment="1">
      <alignment/>
    </xf>
    <xf numFmtId="171" fontId="83" fillId="0" borderId="77" xfId="0" applyNumberFormat="1" applyFont="1" applyBorder="1" applyAlignment="1" applyProtection="1">
      <alignment/>
      <protection hidden="1"/>
    </xf>
    <xf numFmtId="171" fontId="98" fillId="0" borderId="77" xfId="0" applyNumberFormat="1" applyFont="1" applyBorder="1" applyAlignment="1" applyProtection="1">
      <alignment/>
      <protection hidden="1"/>
    </xf>
    <xf numFmtId="164" fontId="88" fillId="0" borderId="69" xfId="0" applyFont="1" applyBorder="1" applyAlignment="1" applyProtection="1">
      <alignment horizontal="center" vertical="center"/>
      <protection hidden="1"/>
    </xf>
    <xf numFmtId="164" fontId="89" fillId="0" borderId="0" xfId="0" applyFont="1" applyBorder="1" applyAlignment="1" applyProtection="1">
      <alignment horizontal="left" vertical="center"/>
      <protection hidden="1"/>
    </xf>
    <xf numFmtId="164" fontId="89" fillId="0" borderId="93" xfId="0" applyFont="1" applyBorder="1" applyAlignment="1" applyProtection="1">
      <alignment vertical="center"/>
      <protection hidden="1"/>
    </xf>
    <xf numFmtId="164" fontId="89" fillId="0" borderId="94" xfId="0" applyFont="1" applyBorder="1" applyAlignment="1" applyProtection="1">
      <alignment vertical="center"/>
      <protection hidden="1"/>
    </xf>
    <xf numFmtId="164" fontId="89" fillId="0" borderId="99" xfId="0" applyFont="1" applyBorder="1" applyAlignment="1" applyProtection="1">
      <alignment/>
      <protection hidden="1"/>
    </xf>
    <xf numFmtId="164" fontId="89" fillId="0" borderId="21" xfId="0" applyFont="1" applyBorder="1" applyAlignment="1" applyProtection="1">
      <alignment/>
      <protection hidden="1"/>
    </xf>
    <xf numFmtId="164" fontId="89" fillId="0" borderId="3" xfId="0" applyFont="1" applyBorder="1" applyAlignment="1" applyProtection="1">
      <alignment/>
      <protection hidden="1"/>
    </xf>
    <xf numFmtId="164" fontId="89" fillId="0" borderId="100" xfId="0" applyFont="1" applyBorder="1" applyAlignment="1" applyProtection="1">
      <alignment/>
      <protection hidden="1"/>
    </xf>
    <xf numFmtId="164" fontId="89" fillId="0" borderId="96" xfId="0" applyFont="1" applyBorder="1" applyAlignment="1" applyProtection="1">
      <alignment/>
      <protection hidden="1"/>
    </xf>
    <xf numFmtId="164" fontId="89" fillId="0" borderId="62" xfId="0" applyFont="1" applyBorder="1" applyAlignment="1" applyProtection="1">
      <alignment/>
      <protection hidden="1"/>
    </xf>
    <xf numFmtId="164" fontId="89" fillId="0" borderId="63" xfId="0" applyFont="1" applyBorder="1" applyAlignment="1" applyProtection="1">
      <alignment/>
      <protection hidden="1"/>
    </xf>
    <xf numFmtId="164" fontId="88" fillId="0" borderId="59" xfId="0" applyFont="1" applyBorder="1" applyAlignment="1" applyProtection="1">
      <alignment horizontal="center" shrinkToFit="1"/>
      <protection hidden="1"/>
    </xf>
    <xf numFmtId="164" fontId="88" fillId="0" borderId="0" xfId="0" applyFont="1" applyBorder="1" applyAlignment="1">
      <alignment horizontal="center"/>
    </xf>
    <xf numFmtId="164" fontId="99" fillId="0" borderId="0" xfId="0" applyFont="1" applyBorder="1" applyAlignment="1">
      <alignment horizontal="center"/>
    </xf>
    <xf numFmtId="164" fontId="87" fillId="0" borderId="0" xfId="0" applyFont="1" applyBorder="1" applyAlignment="1">
      <alignment/>
    </xf>
    <xf numFmtId="164" fontId="74" fillId="0" borderId="59" xfId="0" applyFont="1" applyBorder="1" applyAlignment="1" applyProtection="1">
      <alignment horizontal="center"/>
      <protection hidden="1"/>
    </xf>
    <xf numFmtId="164" fontId="89" fillId="0" borderId="101" xfId="0" applyFont="1" applyBorder="1" applyAlignment="1" applyProtection="1">
      <alignment horizontal="center"/>
      <protection hidden="1"/>
    </xf>
    <xf numFmtId="164" fontId="89" fillId="0" borderId="6" xfId="0" applyFont="1" applyBorder="1" applyAlignment="1" applyProtection="1">
      <alignment horizontal="center"/>
      <protection hidden="1"/>
    </xf>
    <xf numFmtId="164" fontId="89" fillId="0" borderId="6" xfId="0" applyFont="1" applyBorder="1" applyAlignment="1" applyProtection="1">
      <alignment/>
      <protection hidden="1"/>
    </xf>
    <xf numFmtId="164" fontId="89" fillId="0" borderId="5" xfId="0" applyFont="1" applyBorder="1" applyAlignment="1" applyProtection="1">
      <alignment horizontal="center"/>
      <protection hidden="1"/>
    </xf>
    <xf numFmtId="164" fontId="89" fillId="0" borderId="11" xfId="0" applyFont="1" applyBorder="1" applyAlignment="1" applyProtection="1">
      <alignment horizontal="center"/>
      <protection hidden="1"/>
    </xf>
    <xf numFmtId="164" fontId="91" fillId="0" borderId="70" xfId="0" applyFont="1" applyBorder="1" applyAlignment="1" applyProtection="1">
      <alignment horizontal="center"/>
      <protection hidden="1"/>
    </xf>
    <xf numFmtId="164" fontId="91" fillId="0" borderId="0" xfId="0" applyFont="1" applyBorder="1" applyAlignment="1">
      <alignment horizontal="center"/>
    </xf>
    <xf numFmtId="164" fontId="89" fillId="0" borderId="65" xfId="0" applyFont="1" applyBorder="1" applyAlignment="1" applyProtection="1">
      <alignment horizontal="center"/>
      <protection hidden="1"/>
    </xf>
    <xf numFmtId="164" fontId="89" fillId="0" borderId="12" xfId="0" applyFont="1" applyBorder="1" applyAlignment="1" applyProtection="1">
      <alignment horizontal="center"/>
      <protection hidden="1"/>
    </xf>
    <xf numFmtId="164" fontId="89" fillId="0" borderId="12" xfId="0" applyFont="1" applyBorder="1" applyAlignment="1" applyProtection="1">
      <alignment/>
      <protection hidden="1"/>
    </xf>
    <xf numFmtId="164" fontId="89" fillId="0" borderId="9" xfId="0" applyFont="1" applyBorder="1" applyAlignment="1" applyProtection="1">
      <alignment horizontal="center"/>
      <protection hidden="1"/>
    </xf>
    <xf numFmtId="164" fontId="89" fillId="0" borderId="26" xfId="0" applyFont="1" applyBorder="1" applyAlignment="1" applyProtection="1">
      <alignment horizontal="center"/>
      <protection hidden="1"/>
    </xf>
    <xf numFmtId="164" fontId="91" fillId="0" borderId="64" xfId="0" applyFont="1" applyBorder="1" applyAlignment="1" applyProtection="1">
      <alignment horizontal="center"/>
      <protection hidden="1"/>
    </xf>
    <xf numFmtId="164" fontId="89" fillId="0" borderId="69" xfId="0" applyFont="1" applyBorder="1" applyAlignment="1" applyProtection="1">
      <alignment/>
      <protection hidden="1"/>
    </xf>
    <xf numFmtId="164" fontId="89" fillId="0" borderId="57" xfId="0" applyFont="1" applyBorder="1" applyAlignment="1" applyProtection="1">
      <alignment horizontal="center"/>
      <protection hidden="1"/>
    </xf>
    <xf numFmtId="164" fontId="89" fillId="0" borderId="14" xfId="0" applyFont="1" applyBorder="1" applyAlignment="1" applyProtection="1">
      <alignment horizontal="center"/>
      <protection hidden="1"/>
    </xf>
    <xf numFmtId="164" fontId="89" fillId="0" borderId="8" xfId="0" applyFont="1" applyBorder="1" applyAlignment="1" applyProtection="1">
      <alignment horizontal="center"/>
      <protection hidden="1"/>
    </xf>
    <xf numFmtId="164" fontId="91" fillId="0" borderId="71" xfId="0" applyFont="1" applyBorder="1" applyAlignment="1" applyProtection="1">
      <alignment horizontal="center"/>
      <protection hidden="1"/>
    </xf>
    <xf numFmtId="164" fontId="89" fillId="0" borderId="69" xfId="0" applyFont="1" applyBorder="1" applyAlignment="1" applyProtection="1">
      <alignment horizontal="center"/>
      <protection hidden="1"/>
    </xf>
    <xf numFmtId="164" fontId="89" fillId="0" borderId="1" xfId="0" applyFont="1" applyBorder="1" applyAlignment="1" applyProtection="1">
      <alignment horizontal="center"/>
      <protection locked="0"/>
    </xf>
    <xf numFmtId="164" fontId="89" fillId="0" borderId="57" xfId="0" applyFont="1" applyBorder="1" applyAlignment="1" applyProtection="1">
      <alignment horizontal="center"/>
      <protection locked="0"/>
    </xf>
    <xf numFmtId="164" fontId="89" fillId="0" borderId="8" xfId="0" applyFont="1" applyBorder="1" applyAlignment="1" applyProtection="1">
      <alignment horizontal="center"/>
      <protection locked="0"/>
    </xf>
    <xf numFmtId="164" fontId="89" fillId="0" borderId="73" xfId="0" applyFont="1" applyBorder="1" applyAlignment="1" applyProtection="1">
      <alignment horizontal="center"/>
      <protection locked="0"/>
    </xf>
    <xf numFmtId="164" fontId="89" fillId="0" borderId="2" xfId="0" applyFont="1" applyBorder="1" applyAlignment="1" applyProtection="1">
      <alignment horizontal="center"/>
      <protection locked="0"/>
    </xf>
    <xf numFmtId="164" fontId="89" fillId="0" borderId="14" xfId="0" applyFont="1" applyBorder="1" applyAlignment="1" applyProtection="1">
      <alignment horizontal="center"/>
      <protection locked="0"/>
    </xf>
    <xf numFmtId="164" fontId="89" fillId="0" borderId="4" xfId="0" applyFont="1" applyBorder="1" applyAlignment="1" applyProtection="1">
      <alignment horizontal="center"/>
      <protection locked="0"/>
    </xf>
    <xf numFmtId="164" fontId="89" fillId="0" borderId="84" xfId="0" applyFont="1" applyBorder="1" applyAlignment="1" applyProtection="1">
      <alignment horizontal="center"/>
      <protection locked="0"/>
    </xf>
    <xf numFmtId="164" fontId="89" fillId="0" borderId="96" xfId="0" applyFont="1" applyBorder="1" applyAlignment="1" applyProtection="1">
      <alignment horizontal="center"/>
      <protection locked="0"/>
    </xf>
    <xf numFmtId="164" fontId="89" fillId="0" borderId="10" xfId="0" applyFont="1" applyBorder="1" applyAlignment="1" applyProtection="1">
      <alignment horizontal="center"/>
      <protection hidden="1"/>
    </xf>
    <xf numFmtId="164" fontId="83" fillId="0" borderId="59" xfId="0" applyFont="1" applyBorder="1" applyAlignment="1" applyProtection="1">
      <alignment horizontal="left" vertical="center" wrapText="1"/>
      <protection hidden="1"/>
    </xf>
    <xf numFmtId="164" fontId="74" fillId="0" borderId="0" xfId="0" applyFont="1" applyBorder="1" applyAlignment="1">
      <alignment horizontal="left"/>
    </xf>
    <xf numFmtId="164" fontId="87" fillId="0" borderId="0" xfId="0" applyFont="1" applyBorder="1" applyAlignment="1">
      <alignment horizontal="center"/>
    </xf>
    <xf numFmtId="167" fontId="87" fillId="0" borderId="0" xfId="0" applyNumberFormat="1" applyFont="1" applyBorder="1" applyAlignment="1">
      <alignment/>
    </xf>
    <xf numFmtId="164" fontId="87" fillId="0" borderId="0" xfId="0" applyFont="1" applyBorder="1" applyAlignment="1">
      <alignment horizontal="right"/>
    </xf>
    <xf numFmtId="164" fontId="83" fillId="0" borderId="0" xfId="0" applyFont="1" applyBorder="1" applyAlignment="1">
      <alignment horizontal="left"/>
    </xf>
    <xf numFmtId="171" fontId="87" fillId="0" borderId="0" xfId="0" applyNumberFormat="1" applyFont="1" applyBorder="1" applyAlignment="1">
      <alignment horizontal="right"/>
    </xf>
    <xf numFmtId="164" fontId="89" fillId="0" borderId="62" xfId="0" applyFont="1" applyBorder="1" applyAlignment="1" applyProtection="1">
      <alignment horizontal="left"/>
      <protection hidden="1"/>
    </xf>
    <xf numFmtId="164" fontId="89" fillId="0" borderId="0" xfId="0" applyFont="1" applyBorder="1" applyAlignment="1" applyProtection="1">
      <alignment horizontal="left"/>
      <protection hidden="1"/>
    </xf>
    <xf numFmtId="164" fontId="89" fillId="0" borderId="63" xfId="0" applyFont="1" applyBorder="1" applyAlignment="1" applyProtection="1">
      <alignment horizontal="left"/>
      <protection hidden="1"/>
    </xf>
    <xf numFmtId="164" fontId="74" fillId="0" borderId="62" xfId="0" applyFont="1" applyBorder="1" applyAlignment="1" applyProtection="1">
      <alignment/>
      <protection hidden="1"/>
    </xf>
    <xf numFmtId="164" fontId="74" fillId="0" borderId="63" xfId="0" applyFont="1" applyBorder="1" applyAlignment="1" applyProtection="1">
      <alignment/>
      <protection hidden="1"/>
    </xf>
    <xf numFmtId="164" fontId="74" fillId="0" borderId="62" xfId="0" applyFont="1" applyBorder="1" applyAlignment="1" applyProtection="1">
      <alignment horizontal="left"/>
      <protection hidden="1"/>
    </xf>
    <xf numFmtId="172" fontId="74" fillId="0" borderId="0" xfId="0" applyNumberFormat="1" applyFont="1" applyBorder="1" applyAlignment="1" applyProtection="1">
      <alignment horizontal="left"/>
      <protection hidden="1"/>
    </xf>
    <xf numFmtId="164" fontId="74" fillId="0" borderId="63" xfId="0" applyFont="1" applyBorder="1" applyAlignment="1" applyProtection="1">
      <alignment horizontal="left"/>
      <protection hidden="1"/>
    </xf>
    <xf numFmtId="168" fontId="74" fillId="0" borderId="0" xfId="0" applyNumberFormat="1" applyFont="1" applyBorder="1" applyAlignment="1" applyProtection="1">
      <alignment horizontal="left"/>
      <protection hidden="1"/>
    </xf>
    <xf numFmtId="164" fontId="89" fillId="0" borderId="62" xfId="0" applyFont="1" applyBorder="1" applyAlignment="1">
      <alignment/>
    </xf>
    <xf numFmtId="164" fontId="89" fillId="0" borderId="63" xfId="0" applyFont="1" applyBorder="1" applyAlignment="1">
      <alignment/>
    </xf>
    <xf numFmtId="164" fontId="87" fillId="6" borderId="7" xfId="0" applyFont="1" applyFill="1" applyBorder="1" applyAlignment="1">
      <alignment horizontal="center"/>
    </xf>
    <xf numFmtId="164" fontId="87" fillId="0" borderId="0" xfId="0" applyFont="1" applyAlignment="1">
      <alignment/>
    </xf>
    <xf numFmtId="171" fontId="96" fillId="0" borderId="0" xfId="0" applyNumberFormat="1" applyFont="1" applyBorder="1" applyAlignment="1" applyProtection="1">
      <alignment horizontal="center" vertical="center"/>
      <protection hidden="1"/>
    </xf>
    <xf numFmtId="164" fontId="84" fillId="0" borderId="0" xfId="0" applyFont="1" applyBorder="1" applyAlignment="1" applyProtection="1">
      <alignment vertical="center"/>
      <protection hidden="1"/>
    </xf>
    <xf numFmtId="164" fontId="1" fillId="0" borderId="0" xfId="0" applyFont="1" applyBorder="1" applyAlignment="1" applyProtection="1">
      <alignment horizontal="center" vertical="center"/>
      <protection hidden="1"/>
    </xf>
    <xf numFmtId="164" fontId="100" fillId="0" borderId="0" xfId="0" applyFont="1" applyBorder="1" applyAlignment="1" applyProtection="1">
      <alignment horizontal="center" vertical="center"/>
      <protection hidden="1"/>
    </xf>
    <xf numFmtId="164" fontId="101" fillId="0" borderId="0" xfId="0" applyFont="1" applyBorder="1" applyAlignment="1" applyProtection="1">
      <alignment horizontal="left" vertical="center"/>
      <protection hidden="1"/>
    </xf>
    <xf numFmtId="164" fontId="102" fillId="0" borderId="0" xfId="0" applyFont="1" applyBorder="1" applyAlignment="1" applyProtection="1">
      <alignment horizontal="center" vertical="center"/>
      <protection hidden="1"/>
    </xf>
    <xf numFmtId="164" fontId="103" fillId="0" borderId="0" xfId="0" applyFont="1" applyBorder="1" applyAlignment="1" applyProtection="1">
      <alignment horizontal="center" vertical="center"/>
      <protection hidden="1"/>
    </xf>
    <xf numFmtId="164" fontId="104" fillId="0" borderId="0" xfId="0" applyFont="1" applyBorder="1" applyAlignment="1" applyProtection="1">
      <alignment horizontal="center" vertical="center"/>
      <protection hidden="1"/>
    </xf>
    <xf numFmtId="164" fontId="105" fillId="0" borderId="0" xfId="0" applyFont="1" applyBorder="1" applyAlignment="1" applyProtection="1">
      <alignment horizontal="center" vertical="center"/>
      <protection hidden="1"/>
    </xf>
    <xf numFmtId="167" fontId="105" fillId="0" borderId="0" xfId="0" applyNumberFormat="1" applyFont="1" applyBorder="1" applyAlignment="1" applyProtection="1">
      <alignment horizontal="center" vertical="center"/>
      <protection/>
    </xf>
    <xf numFmtId="164" fontId="105" fillId="0" borderId="0" xfId="0" applyFont="1" applyBorder="1" applyAlignment="1" applyProtection="1">
      <alignment horizontal="left" vertical="center"/>
      <protection/>
    </xf>
    <xf numFmtId="164" fontId="105" fillId="0" borderId="0" xfId="0" applyFont="1" applyBorder="1" applyAlignment="1" applyProtection="1">
      <alignment horizontal="left" vertical="center"/>
      <protection hidden="1"/>
    </xf>
    <xf numFmtId="164" fontId="106" fillId="11" borderId="33" xfId="0" applyFont="1" applyFill="1" applyBorder="1" applyAlignment="1">
      <alignment horizontal="center" vertical="center"/>
    </xf>
    <xf numFmtId="164" fontId="107" fillId="19" borderId="18" xfId="0" applyFont="1" applyFill="1" applyBorder="1" applyAlignment="1" applyProtection="1">
      <alignment horizontal="left" vertical="center"/>
      <protection hidden="1"/>
    </xf>
    <xf numFmtId="164" fontId="107" fillId="6" borderId="102" xfId="0" applyFont="1" applyFill="1" applyBorder="1" applyAlignment="1" applyProtection="1">
      <alignment horizontal="left" vertical="center"/>
      <protection hidden="1" locked="0"/>
    </xf>
    <xf numFmtId="164" fontId="107" fillId="6" borderId="103" xfId="0" applyFont="1" applyFill="1" applyBorder="1" applyAlignment="1" applyProtection="1">
      <alignment horizontal="left" vertical="center"/>
      <protection hidden="1" locked="0"/>
    </xf>
    <xf numFmtId="168" fontId="107" fillId="6" borderId="103" xfId="0" applyNumberFormat="1" applyFont="1" applyFill="1" applyBorder="1" applyAlignment="1" applyProtection="1">
      <alignment horizontal="left" vertical="center"/>
      <protection hidden="1" locked="0"/>
    </xf>
    <xf numFmtId="164" fontId="107" fillId="19" borderId="7" xfId="0" applyFont="1" applyFill="1" applyBorder="1" applyAlignment="1" applyProtection="1">
      <alignment horizontal="left" vertical="center"/>
      <protection hidden="1"/>
    </xf>
    <xf numFmtId="164" fontId="107" fillId="6" borderId="104" xfId="0" applyFont="1" applyFill="1" applyBorder="1" applyAlignment="1" applyProtection="1">
      <alignment horizontal="left" vertical="center"/>
      <protection hidden="1" locked="0"/>
    </xf>
    <xf numFmtId="164" fontId="0" fillId="0" borderId="20" xfId="0" applyBorder="1" applyAlignment="1">
      <alignment/>
    </xf>
    <xf numFmtId="164" fontId="108" fillId="0" borderId="28" xfId="0" applyFont="1" applyFill="1" applyBorder="1" applyAlignment="1" applyProtection="1">
      <alignment horizontal="center"/>
      <protection hidden="1"/>
    </xf>
    <xf numFmtId="164" fontId="109" fillId="0" borderId="0" xfId="0" applyFont="1" applyFill="1" applyBorder="1" applyAlignment="1" applyProtection="1">
      <alignment vertical="center"/>
      <protection hidden="1"/>
    </xf>
    <xf numFmtId="164" fontId="109" fillId="0" borderId="26" xfId="0" applyFont="1" applyFill="1" applyBorder="1" applyAlignment="1" applyProtection="1">
      <alignment vertical="center"/>
      <protection hidden="1"/>
    </xf>
    <xf numFmtId="164" fontId="110" fillId="0" borderId="28" xfId="0" applyFont="1" applyFill="1" applyBorder="1" applyAlignment="1" applyProtection="1">
      <alignment horizontal="center" vertical="center"/>
      <protection hidden="1"/>
    </xf>
    <xf numFmtId="164" fontId="110" fillId="0" borderId="0" xfId="0" applyFont="1" applyFill="1" applyBorder="1" applyAlignment="1" applyProtection="1">
      <alignment vertical="center"/>
      <protection hidden="1"/>
    </xf>
    <xf numFmtId="164" fontId="110" fillId="0" borderId="26" xfId="0" applyFont="1" applyFill="1" applyBorder="1" applyAlignment="1" applyProtection="1">
      <alignment vertical="center"/>
      <protection hidden="1"/>
    </xf>
    <xf numFmtId="164" fontId="0" fillId="0" borderId="13" xfId="0" applyBorder="1" applyAlignment="1">
      <alignment/>
    </xf>
    <xf numFmtId="164" fontId="0" fillId="0" borderId="0" xfId="0" applyBorder="1" applyAlignment="1">
      <alignment/>
    </xf>
    <xf numFmtId="164" fontId="111" fillId="0" borderId="28" xfId="0" applyFont="1" applyBorder="1" applyAlignment="1">
      <alignment horizontal="left" vertical="center" wrapText="1"/>
    </xf>
    <xf numFmtId="164" fontId="0" fillId="0" borderId="16" xfId="0" applyFont="1" applyBorder="1" applyAlignment="1">
      <alignment/>
    </xf>
    <xf numFmtId="164" fontId="0" fillId="0" borderId="28" xfId="0" applyFont="1" applyBorder="1" applyAlignment="1">
      <alignment/>
    </xf>
    <xf numFmtId="164" fontId="0" fillId="0" borderId="27" xfId="0" applyFont="1" applyBorder="1" applyAlignment="1">
      <alignment/>
    </xf>
    <xf numFmtId="168" fontId="0" fillId="0" borderId="0" xfId="0" applyNumberFormat="1" applyBorder="1" applyAlignment="1">
      <alignment/>
    </xf>
    <xf numFmtId="164" fontId="0" fillId="0" borderId="24" xfId="0" applyBorder="1" applyAlignment="1">
      <alignment/>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30</xdr:row>
      <xdr:rowOff>0</xdr:rowOff>
    </xdr:from>
    <xdr:to>
      <xdr:col>10</xdr:col>
      <xdr:colOff>47625</xdr:colOff>
      <xdr:row>33</xdr:row>
      <xdr:rowOff>361950</xdr:rowOff>
    </xdr:to>
    <xdr:pic>
      <xdr:nvPicPr>
        <xdr:cNvPr id="1" name="Picture 2"/>
        <xdr:cNvPicPr preferRelativeResize="1">
          <a:picLocks noChangeAspect="1"/>
        </xdr:cNvPicPr>
      </xdr:nvPicPr>
      <xdr:blipFill>
        <a:blip r:embed="rId1"/>
        <a:stretch>
          <a:fillRect/>
        </a:stretch>
      </xdr:blipFill>
      <xdr:spPr>
        <a:xfrm>
          <a:off x="4791075" y="10067925"/>
          <a:ext cx="1238250" cy="1447800"/>
        </a:xfrm>
        <a:prstGeom prst="rect">
          <a:avLst/>
        </a:prstGeom>
        <a:blipFill>
          <a:blip r:embed=""/>
          <a:srcRect/>
          <a:stretch>
            <a:fillRect/>
          </a:stretch>
        </a:blipFill>
        <a:ln w="9525" cmpd="sng">
          <a:noFill/>
        </a:ln>
      </xdr:spPr>
    </xdr:pic>
    <xdr:clientData/>
  </xdr:twoCellAnchor>
  <xdr:twoCellAnchor>
    <xdr:from>
      <xdr:col>13</xdr:col>
      <xdr:colOff>142875</xdr:colOff>
      <xdr:row>19</xdr:row>
      <xdr:rowOff>133350</xdr:rowOff>
    </xdr:from>
    <xdr:to>
      <xdr:col>14</xdr:col>
      <xdr:colOff>600075</xdr:colOff>
      <xdr:row>20</xdr:row>
      <xdr:rowOff>28575</xdr:rowOff>
    </xdr:to>
    <xdr:sp>
      <xdr:nvSpPr>
        <xdr:cNvPr id="2" name="Right Arrow 2"/>
        <xdr:cNvSpPr>
          <a:spLocks/>
        </xdr:cNvSpPr>
      </xdr:nvSpPr>
      <xdr:spPr>
        <a:xfrm>
          <a:off x="8382000" y="6610350"/>
          <a:ext cx="1028700" cy="219075"/>
        </a:xfrm>
        <a:prstGeom prst="rightArrow">
          <a:avLst>
            <a:gd name="adj1" fmla="val 39476"/>
            <a:gd name="adj2" fmla="val -25000"/>
          </a:avLst>
        </a:prstGeom>
        <a:solidFill>
          <a:srgbClr val="FF0000"/>
        </a:solidFill>
        <a:ln w="9360" cmpd="sng">
          <a:solidFill>
            <a:srgbClr val="00206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9525</xdr:colOff>
      <xdr:row>0</xdr:row>
      <xdr:rowOff>123825</xdr:rowOff>
    </xdr:from>
    <xdr:to>
      <xdr:col>16</xdr:col>
      <xdr:colOff>161925</xdr:colOff>
      <xdr:row>1</xdr:row>
      <xdr:rowOff>476250</xdr:rowOff>
    </xdr:to>
    <xdr:sp>
      <xdr:nvSpPr>
        <xdr:cNvPr id="3" name="Rectangle 3"/>
        <xdr:cNvSpPr>
          <a:spLocks/>
        </xdr:cNvSpPr>
      </xdr:nvSpPr>
      <xdr:spPr>
        <a:xfrm>
          <a:off x="9525" y="123825"/>
          <a:ext cx="10210800" cy="533400"/>
        </a:xfrm>
        <a:prstGeom prst="rect">
          <a:avLst/>
        </a:prstGeom>
        <a:ln w="9525" cmpd="sng">
          <a:noFill/>
        </a:ln>
      </xdr:spPr>
      <xdr:txBody>
        <a:bodyPr vertOverflow="clip" wrap="square" lIns="90000" tIns="46800" rIns="90000" bIns="46800"/>
        <a:p>
          <a:pPr algn="ctr">
            <a:defRPr/>
          </a:pPr>
          <a:r>
            <a:rPr lang="en-US" cap="none" sz="2800" b="1" i="0" u="none" baseline="0">
              <a:solidFill>
                <a:srgbClr val="FFFF00"/>
              </a:solidFill>
              <a:latin typeface="Calibri"/>
              <a:ea typeface="Calibri"/>
              <a:cs typeface="Calibri"/>
            </a:rPr>
            <a:t>Telangana State Employees</a:t>
          </a:r>
        </a:p>
      </xdr:txBody>
    </xdr:sp>
    <xdr:clientData/>
  </xdr:twoCellAnchor>
  <xdr:twoCellAnchor>
    <xdr:from>
      <xdr:col>0</xdr:col>
      <xdr:colOff>0</xdr:colOff>
      <xdr:row>36</xdr:row>
      <xdr:rowOff>28575</xdr:rowOff>
    </xdr:from>
    <xdr:to>
      <xdr:col>16</xdr:col>
      <xdr:colOff>142875</xdr:colOff>
      <xdr:row>37</xdr:row>
      <xdr:rowOff>228600</xdr:rowOff>
    </xdr:to>
    <xdr:sp>
      <xdr:nvSpPr>
        <xdr:cNvPr id="4" name="Rectangle 4"/>
        <xdr:cNvSpPr>
          <a:spLocks/>
        </xdr:cNvSpPr>
      </xdr:nvSpPr>
      <xdr:spPr>
        <a:xfrm>
          <a:off x="0" y="12353925"/>
          <a:ext cx="10201275" cy="590550"/>
        </a:xfrm>
        <a:prstGeom prst="rect">
          <a:avLst/>
        </a:prstGeom>
        <a:ln w="9525" cmpd="sng">
          <a:noFill/>
        </a:ln>
      </xdr:spPr>
      <xdr:txBody>
        <a:bodyPr vertOverflow="clip" wrap="square" lIns="90000" tIns="46800" rIns="90000" bIns="46800"/>
        <a:p>
          <a:pPr algn="ctr">
            <a:defRPr/>
          </a:pPr>
          <a:r>
            <a:rPr lang="en-US" cap="none" sz="1600" b="1" i="0" u="none" baseline="0">
              <a:solidFill>
                <a:srgbClr val="000000"/>
              </a:solidFill>
              <a:latin typeface="Calibri"/>
              <a:ea typeface="Calibri"/>
              <a:cs typeface="Calibri"/>
            </a:rPr>
            <a:t>Those income crossed 5Lacks Submit Your IT returns in the month of June/ before last date with near by IT Practitioner (CA), DDOs submitt your staff deducted IT through e-filling by IT Practitioner. </a:t>
          </a:r>
        </a:p>
      </xdr:txBody>
    </xdr:sp>
    <xdr:clientData/>
  </xdr:twoCellAnchor>
  <xdr:twoCellAnchor>
    <xdr:from>
      <xdr:col>14</xdr:col>
      <xdr:colOff>0</xdr:colOff>
      <xdr:row>34</xdr:row>
      <xdr:rowOff>0</xdr:rowOff>
    </xdr:from>
    <xdr:to>
      <xdr:col>15</xdr:col>
      <xdr:colOff>638175</xdr:colOff>
      <xdr:row>34</xdr:row>
      <xdr:rowOff>352425</xdr:rowOff>
    </xdr:to>
    <xdr:sp>
      <xdr:nvSpPr>
        <xdr:cNvPr id="5" name="Rectangle 6"/>
        <xdr:cNvSpPr>
          <a:spLocks/>
        </xdr:cNvSpPr>
      </xdr:nvSpPr>
      <xdr:spPr>
        <a:xfrm>
          <a:off x="8810625" y="11515725"/>
          <a:ext cx="1247775" cy="352425"/>
        </a:xfrm>
        <a:prstGeom prst="rect">
          <a:avLst/>
        </a:prstGeom>
        <a:ln w="9525" cmpd="sng">
          <a:noFill/>
        </a:ln>
      </xdr:spPr>
      <xdr:txBody>
        <a:bodyPr vertOverflow="clip" wrap="square" lIns="90000" tIns="46800" rIns="90000" bIns="46800" anchor="ctr"/>
        <a:p>
          <a:pPr algn="ctr">
            <a:defRPr/>
          </a:pPr>
          <a:r>
            <a:rPr lang="en-US" cap="none" sz="1200" b="1" i="0" u="none" baseline="0">
              <a:solidFill>
                <a:srgbClr val="FFFFFF"/>
              </a:solidFill>
              <a:latin typeface="Calibri"/>
              <a:ea typeface="Calibri"/>
              <a:cs typeface="Calibri"/>
            </a:rPr>
            <a:t>Thank You</a:t>
          </a:r>
        </a:p>
      </xdr:txBody>
    </xdr:sp>
    <xdr:clientData/>
  </xdr:twoCellAnchor>
  <xdr:twoCellAnchor>
    <xdr:from>
      <xdr:col>1</xdr:col>
      <xdr:colOff>9525</xdr:colOff>
      <xdr:row>20</xdr:row>
      <xdr:rowOff>9525</xdr:rowOff>
    </xdr:from>
    <xdr:to>
      <xdr:col>4</xdr:col>
      <xdr:colOff>0</xdr:colOff>
      <xdr:row>20</xdr:row>
      <xdr:rowOff>352425</xdr:rowOff>
    </xdr:to>
    <xdr:sp>
      <xdr:nvSpPr>
        <xdr:cNvPr id="6" name="Rectangle 7"/>
        <xdr:cNvSpPr>
          <a:spLocks/>
        </xdr:cNvSpPr>
      </xdr:nvSpPr>
      <xdr:spPr>
        <a:xfrm>
          <a:off x="171450" y="6810375"/>
          <a:ext cx="2619375" cy="342900"/>
        </a:xfrm>
        <a:prstGeom prst="rect">
          <a:avLst/>
        </a:prstGeom>
        <a:ln w="9525" cmpd="sng">
          <a:noFill/>
        </a:ln>
      </xdr:spPr>
      <xdr:txBody>
        <a:bodyPr vertOverflow="clip" wrap="square" lIns="90000" tIns="46800" rIns="90000" bIns="46800" anchor="ctr"/>
        <a:p>
          <a:pPr algn="ctr">
            <a:defRPr/>
          </a:pPr>
          <a:r>
            <a:rPr lang="en-US" cap="none" sz="2000" b="1" i="0" u="none" baseline="0">
              <a:latin typeface="Calibri"/>
              <a:ea typeface="Calibri"/>
              <a:cs typeface="Calibri"/>
            </a:rPr>
            <a:t>S a v i n g s</a:t>
          </a:r>
        </a:p>
      </xdr:txBody>
    </xdr:sp>
    <xdr:clientData/>
  </xdr:twoCellAnchor>
  <xdr:twoCellAnchor>
    <xdr:from>
      <xdr:col>6</xdr:col>
      <xdr:colOff>0</xdr:colOff>
      <xdr:row>20</xdr:row>
      <xdr:rowOff>9525</xdr:rowOff>
    </xdr:from>
    <xdr:to>
      <xdr:col>12</xdr:col>
      <xdr:colOff>9525</xdr:colOff>
      <xdr:row>20</xdr:row>
      <xdr:rowOff>352425</xdr:rowOff>
    </xdr:to>
    <xdr:sp>
      <xdr:nvSpPr>
        <xdr:cNvPr id="7" name="Rectangle 8"/>
        <xdr:cNvSpPr>
          <a:spLocks/>
        </xdr:cNvSpPr>
      </xdr:nvSpPr>
      <xdr:spPr>
        <a:xfrm>
          <a:off x="3686175" y="6810375"/>
          <a:ext cx="3505200" cy="342900"/>
        </a:xfrm>
        <a:prstGeom prst="rect">
          <a:avLst/>
        </a:prstGeom>
        <a:ln w="9525" cmpd="sng">
          <a:noFill/>
        </a:ln>
      </xdr:spPr>
      <xdr:txBody>
        <a:bodyPr vertOverflow="clip" wrap="square" lIns="90000" tIns="46800" rIns="90000" bIns="46800" anchor="ctr"/>
        <a:p>
          <a:pPr algn="ctr">
            <a:defRPr/>
          </a:pPr>
          <a:r>
            <a:rPr lang="en-US" cap="none" sz="2000" b="1" i="0" u="none" baseline="0">
              <a:latin typeface="Calibri"/>
              <a:ea typeface="Calibri"/>
              <a:cs typeface="Calibri"/>
            </a:rPr>
            <a:t>D e d u c t i o n s</a:t>
          </a:r>
        </a:p>
      </xdr:txBody>
    </xdr:sp>
    <xdr:clientData/>
  </xdr:twoCellAnchor>
  <xdr:twoCellAnchor>
    <xdr:from>
      <xdr:col>13</xdr:col>
      <xdr:colOff>0</xdr:colOff>
      <xdr:row>20</xdr:row>
      <xdr:rowOff>0</xdr:rowOff>
    </xdr:from>
    <xdr:to>
      <xdr:col>15</xdr:col>
      <xdr:colOff>638175</xdr:colOff>
      <xdr:row>20</xdr:row>
      <xdr:rowOff>342900</xdr:rowOff>
    </xdr:to>
    <xdr:sp>
      <xdr:nvSpPr>
        <xdr:cNvPr id="8" name="Rectangle 9"/>
        <xdr:cNvSpPr>
          <a:spLocks/>
        </xdr:cNvSpPr>
      </xdr:nvSpPr>
      <xdr:spPr>
        <a:xfrm>
          <a:off x="8239125" y="6800850"/>
          <a:ext cx="1819275" cy="342900"/>
        </a:xfrm>
        <a:prstGeom prst="rect">
          <a:avLst/>
        </a:prstGeom>
        <a:ln w="9525" cmpd="sng">
          <a:noFill/>
        </a:ln>
      </xdr:spPr>
      <xdr:txBody>
        <a:bodyPr vertOverflow="clip" wrap="square" lIns="90000" tIns="46800" rIns="90000" bIns="46800" anchor="ctr"/>
        <a:p>
          <a:pPr algn="ctr">
            <a:defRPr/>
          </a:pPr>
          <a:r>
            <a:rPr lang="en-US" cap="none" sz="2000" b="0" i="0" u="none" baseline="0">
              <a:solidFill>
                <a:srgbClr val="FFFFFF"/>
              </a:solidFill>
              <a:latin typeface="Calibri"/>
              <a:ea typeface="Calibri"/>
              <a:cs typeface="Calibri"/>
            </a:rPr>
            <a:t>www.putta.in</a:t>
          </a:r>
        </a:p>
      </xdr:txBody>
    </xdr:sp>
    <xdr:clientData/>
  </xdr:twoCellAnchor>
  <xdr:twoCellAnchor>
    <xdr:from>
      <xdr:col>1</xdr:col>
      <xdr:colOff>0</xdr:colOff>
      <xdr:row>29</xdr:row>
      <xdr:rowOff>19050</xdr:rowOff>
    </xdr:from>
    <xdr:to>
      <xdr:col>5</xdr:col>
      <xdr:colOff>352425</xdr:colOff>
      <xdr:row>30</xdr:row>
      <xdr:rowOff>361950</xdr:rowOff>
    </xdr:to>
    <xdr:sp>
      <xdr:nvSpPr>
        <xdr:cNvPr id="9" name="Rectangle 10"/>
        <xdr:cNvSpPr>
          <a:spLocks/>
        </xdr:cNvSpPr>
      </xdr:nvSpPr>
      <xdr:spPr>
        <a:xfrm>
          <a:off x="161925" y="9725025"/>
          <a:ext cx="3514725" cy="704850"/>
        </a:xfrm>
        <a:prstGeom prst="rect">
          <a:avLst/>
        </a:prstGeom>
        <a:ln w="9525" cmpd="sng">
          <a:noFill/>
        </a:ln>
      </xdr:spPr>
      <xdr:txBody>
        <a:bodyPr vertOverflow="clip" wrap="square" lIns="90000" tIns="46800" rIns="90000" bIns="46800" anchor="ctr"/>
        <a:p>
          <a:pPr algn="ctr">
            <a:defRPr/>
          </a:pPr>
          <a:r>
            <a:rPr lang="en-US" cap="none" sz="3600" b="0" i="0" u="none" baseline="0">
              <a:solidFill>
                <a:srgbClr val="FFFFFF"/>
              </a:solidFill>
              <a:latin typeface="Calibri"/>
              <a:ea typeface="Calibri"/>
              <a:cs typeface="Calibri"/>
            </a:rPr>
            <a:t>www.prtunzb.in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xdr:rowOff>
    </xdr:from>
    <xdr:to>
      <xdr:col>10</xdr:col>
      <xdr:colOff>9525</xdr:colOff>
      <xdr:row>0</xdr:row>
      <xdr:rowOff>381000</xdr:rowOff>
    </xdr:to>
    <xdr:sp>
      <xdr:nvSpPr>
        <xdr:cNvPr id="1" name="Rectangle 2"/>
        <xdr:cNvSpPr>
          <a:spLocks/>
        </xdr:cNvSpPr>
      </xdr:nvSpPr>
      <xdr:spPr>
        <a:xfrm>
          <a:off x="171450" y="9525"/>
          <a:ext cx="6000750" cy="371475"/>
        </a:xfrm>
        <a:prstGeom prst="rect">
          <a:avLst/>
        </a:prstGeom>
        <a:ln w="9525" cmpd="sng">
          <a:noFill/>
        </a:ln>
      </xdr:spPr>
      <xdr:txBody>
        <a:bodyPr vertOverflow="clip" wrap="square" lIns="90000" tIns="46800" rIns="90000" bIns="46800" anchor="ctr"/>
        <a:p>
          <a:pPr algn="ctr">
            <a:defRPr/>
          </a:pPr>
          <a:r>
            <a:rPr lang="en-US" cap="none" sz="2000" b="1" i="0" u="none" baseline="0">
              <a:solidFill>
                <a:srgbClr val="339966"/>
              </a:solidFill>
              <a:latin typeface="Calibri"/>
              <a:ea typeface="Calibri"/>
              <a:cs typeface="Calibri"/>
            </a:rPr>
            <a:t>Enter House Owner Particulars</a:t>
          </a:r>
        </a:p>
      </xdr:txBody>
    </xdr:sp>
    <xdr:clientData/>
  </xdr:twoCellAnchor>
  <xdr:twoCellAnchor>
    <xdr:from>
      <xdr:col>8</xdr:col>
      <xdr:colOff>95250</xdr:colOff>
      <xdr:row>0</xdr:row>
      <xdr:rowOff>133350</xdr:rowOff>
    </xdr:from>
    <xdr:to>
      <xdr:col>8</xdr:col>
      <xdr:colOff>447675</xdr:colOff>
      <xdr:row>1</xdr:row>
      <xdr:rowOff>47625</xdr:rowOff>
    </xdr:to>
    <xdr:sp>
      <xdr:nvSpPr>
        <xdr:cNvPr id="2" name="Down Arrow 1"/>
        <xdr:cNvSpPr>
          <a:spLocks/>
        </xdr:cNvSpPr>
      </xdr:nvSpPr>
      <xdr:spPr>
        <a:xfrm>
          <a:off x="4962525" y="133350"/>
          <a:ext cx="352425" cy="304800"/>
        </a:xfrm>
        <a:prstGeom prst="downArrow">
          <a:avLst>
            <a:gd name="adj1" fmla="val 0"/>
            <a:gd name="adj2" fmla="val -25000"/>
          </a:avLst>
        </a:prstGeom>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putta.in/" TargetMode="External" /><Relationship Id="rId2" Type="http://schemas.openxmlformats.org/officeDocument/2006/relationships/hyperlink" Target="http://www.putta.in/" TargetMode="External" /><Relationship Id="rId3" Type="http://schemas.openxmlformats.org/officeDocument/2006/relationships/hyperlink" Target="http://www.putta.in/" TargetMode="External" /><Relationship Id="rId4" Type="http://schemas.openxmlformats.org/officeDocument/2006/relationships/hyperlink" Target="http://www.putta.in/" TargetMode="External" /><Relationship Id="rId5" Type="http://schemas.openxmlformats.org/officeDocument/2006/relationships/vmlDrawing" Target="../drawings/vmlDrawing1.vml" /><Relationship Id="rId6"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R66"/>
  <sheetViews>
    <sheetView showGridLines="0" showRowColHeaders="0" workbookViewId="0" topLeftCell="A1">
      <selection activeCell="C4" sqref="C4"/>
    </sheetView>
  </sheetViews>
  <sheetFormatPr defaultColWidth="9.140625" defaultRowHeight="15" customHeight="1"/>
  <cols>
    <col min="1" max="1" width="3.00390625" style="1" customWidth="1"/>
    <col min="2" max="2" width="12.57421875" style="2" customWidth="1"/>
    <col min="3" max="3" width="64.8515625" style="1" customWidth="1"/>
    <col min="4" max="4" width="52.8515625" style="1" customWidth="1"/>
    <col min="5" max="5" width="1.1484375" style="1" customWidth="1"/>
    <col min="6" max="6" width="40.421875" style="1" customWidth="1"/>
    <col min="7" max="7" width="16.421875" style="1" customWidth="1"/>
    <col min="8" max="8" width="14.140625" style="1" customWidth="1"/>
    <col min="9" max="16384" width="9.140625" style="1" customWidth="1"/>
  </cols>
  <sheetData>
    <row r="1" spans="2:4" ht="29.25" customHeight="1">
      <c r="B1" s="3" t="s">
        <v>0</v>
      </c>
      <c r="C1" s="4" t="s">
        <v>1</v>
      </c>
      <c r="D1" s="4" t="s">
        <v>2</v>
      </c>
    </row>
    <row r="2" spans="2:8" ht="38.25" customHeight="1">
      <c r="B2" s="5" t="s">
        <v>3</v>
      </c>
      <c r="C2" s="6" t="s">
        <v>4</v>
      </c>
      <c r="D2" s="6" t="s">
        <v>5</v>
      </c>
      <c r="F2" s="7" t="s">
        <v>6</v>
      </c>
      <c r="G2" s="8" t="s">
        <v>7</v>
      </c>
      <c r="H2" s="9" t="s">
        <v>0</v>
      </c>
    </row>
    <row r="3" spans="2:8" ht="102" customHeight="1">
      <c r="B3" s="10" t="s">
        <v>8</v>
      </c>
      <c r="C3" s="11" t="s">
        <v>9</v>
      </c>
      <c r="D3" s="12" t="s">
        <v>10</v>
      </c>
      <c r="F3" s="13" t="s">
        <v>11</v>
      </c>
      <c r="G3" s="14">
        <v>150000</v>
      </c>
      <c r="H3" s="15" t="s">
        <v>12</v>
      </c>
    </row>
    <row r="4" spans="2:8" ht="51" customHeight="1">
      <c r="B4" s="5" t="s">
        <v>13</v>
      </c>
      <c r="C4" s="6" t="s">
        <v>14</v>
      </c>
      <c r="D4" s="6" t="s">
        <v>15</v>
      </c>
      <c r="F4" s="13" t="s">
        <v>16</v>
      </c>
      <c r="G4" s="14">
        <v>150000</v>
      </c>
      <c r="H4" s="15" t="s">
        <v>12</v>
      </c>
    </row>
    <row r="5" spans="2:8" ht="38.25" customHeight="1">
      <c r="B5" s="5"/>
      <c r="C5" s="6" t="s">
        <v>17</v>
      </c>
      <c r="D5" s="11" t="s">
        <v>18</v>
      </c>
      <c r="F5" s="13" t="s">
        <v>19</v>
      </c>
      <c r="G5" s="14">
        <v>150000</v>
      </c>
      <c r="H5" s="15" t="s">
        <v>12</v>
      </c>
    </row>
    <row r="6" spans="2:8" ht="76.5" customHeight="1">
      <c r="B6" s="10" t="s">
        <v>20</v>
      </c>
      <c r="C6" s="16" t="s">
        <v>21</v>
      </c>
      <c r="D6" s="17" t="s">
        <v>22</v>
      </c>
      <c r="F6" s="13" t="s">
        <v>23</v>
      </c>
      <c r="G6" s="14">
        <v>150000</v>
      </c>
      <c r="H6" s="15" t="s">
        <v>12</v>
      </c>
    </row>
    <row r="7" spans="2:8" ht="63.75" customHeight="1">
      <c r="B7" s="10" t="s">
        <v>24</v>
      </c>
      <c r="C7" s="6" t="s">
        <v>25</v>
      </c>
      <c r="D7" s="18" t="s">
        <v>26</v>
      </c>
      <c r="F7" s="13" t="s">
        <v>27</v>
      </c>
      <c r="G7" s="14">
        <v>150000</v>
      </c>
      <c r="H7" s="15" t="s">
        <v>12</v>
      </c>
    </row>
    <row r="8" spans="2:8" ht="44.25" customHeight="1">
      <c r="B8" s="5" t="s">
        <v>28</v>
      </c>
      <c r="C8" s="19" t="s">
        <v>29</v>
      </c>
      <c r="D8" s="11" t="s">
        <v>30</v>
      </c>
      <c r="F8" s="13" t="s">
        <v>31</v>
      </c>
      <c r="G8" s="14">
        <v>150000</v>
      </c>
      <c r="H8" s="15" t="s">
        <v>12</v>
      </c>
    </row>
    <row r="9" spans="2:8" ht="24" customHeight="1">
      <c r="B9" s="5" t="s">
        <v>32</v>
      </c>
      <c r="C9" s="20" t="s">
        <v>33</v>
      </c>
      <c r="D9" s="11" t="s">
        <v>34</v>
      </c>
      <c r="F9" s="13" t="s">
        <v>35</v>
      </c>
      <c r="G9" s="14">
        <v>150000</v>
      </c>
      <c r="H9" s="15" t="s">
        <v>12</v>
      </c>
    </row>
    <row r="10" spans="2:8" ht="24" customHeight="1">
      <c r="B10" s="5"/>
      <c r="C10" s="21" t="s">
        <v>36</v>
      </c>
      <c r="D10" s="11"/>
      <c r="F10" s="13" t="s">
        <v>37</v>
      </c>
      <c r="G10" s="14">
        <v>150000</v>
      </c>
      <c r="H10" s="15" t="s">
        <v>12</v>
      </c>
    </row>
    <row r="11" spans="2:8" ht="25.5" customHeight="1">
      <c r="B11" s="5"/>
      <c r="C11" s="21" t="s">
        <v>38</v>
      </c>
      <c r="D11" s="19" t="s">
        <v>39</v>
      </c>
      <c r="F11" s="13" t="s">
        <v>40</v>
      </c>
      <c r="G11" s="14">
        <v>150000</v>
      </c>
      <c r="H11" s="15" t="s">
        <v>12</v>
      </c>
    </row>
    <row r="12" spans="2:8" ht="28.5" customHeight="1">
      <c r="B12" s="5"/>
      <c r="C12" s="21" t="s">
        <v>41</v>
      </c>
      <c r="D12" s="19" t="s">
        <v>42</v>
      </c>
      <c r="F12" s="13" t="s">
        <v>43</v>
      </c>
      <c r="G12" s="14">
        <v>150000</v>
      </c>
      <c r="H12" s="15" t="s">
        <v>12</v>
      </c>
    </row>
    <row r="13" spans="2:8" ht="15" customHeight="1">
      <c r="B13" s="22" t="s">
        <v>44</v>
      </c>
      <c r="C13" s="11" t="s">
        <v>45</v>
      </c>
      <c r="D13" s="23" t="s">
        <v>46</v>
      </c>
      <c r="F13" s="13" t="s">
        <v>47</v>
      </c>
      <c r="G13" s="14">
        <v>20000</v>
      </c>
      <c r="H13" s="15" t="s">
        <v>48</v>
      </c>
    </row>
    <row r="14" spans="2:8" ht="15" customHeight="1">
      <c r="B14" s="24"/>
      <c r="C14" s="19" t="s">
        <v>49</v>
      </c>
      <c r="D14" s="23"/>
      <c r="F14" s="13" t="s">
        <v>50</v>
      </c>
      <c r="G14" s="14">
        <v>10000</v>
      </c>
      <c r="H14" s="15" t="s">
        <v>3</v>
      </c>
    </row>
    <row r="15" spans="2:4" ht="15" customHeight="1">
      <c r="B15" s="24"/>
      <c r="C15" s="19" t="s">
        <v>51</v>
      </c>
      <c r="D15" s="23"/>
    </row>
    <row r="16" spans="2:10" ht="38.25" customHeight="1">
      <c r="B16" s="24"/>
      <c r="C16" s="19" t="s">
        <v>52</v>
      </c>
      <c r="D16" s="23"/>
      <c r="F16" s="25" t="s">
        <v>53</v>
      </c>
      <c r="G16" s="25"/>
      <c r="H16" s="25"/>
      <c r="I16" s="25"/>
      <c r="J16" s="25"/>
    </row>
    <row r="17" spans="2:10" ht="15" customHeight="1">
      <c r="B17" s="24"/>
      <c r="C17" s="19" t="s">
        <v>54</v>
      </c>
      <c r="D17" s="23"/>
      <c r="F17" s="25"/>
      <c r="G17" s="25"/>
      <c r="H17" s="25"/>
      <c r="I17" s="25"/>
      <c r="J17" s="25"/>
    </row>
    <row r="18" spans="2:10" ht="25.5" customHeight="1">
      <c r="B18" s="24"/>
      <c r="C18" s="19" t="s">
        <v>55</v>
      </c>
      <c r="D18" s="23"/>
      <c r="F18" s="25"/>
      <c r="G18" s="25"/>
      <c r="H18" s="25"/>
      <c r="I18" s="25"/>
      <c r="J18" s="25"/>
    </row>
    <row r="19" spans="2:10" ht="25.5" customHeight="1">
      <c r="B19" s="24"/>
      <c r="C19" s="19" t="s">
        <v>56</v>
      </c>
      <c r="D19" s="23"/>
      <c r="F19" s="25"/>
      <c r="G19" s="25"/>
      <c r="H19" s="25"/>
      <c r="I19" s="25"/>
      <c r="J19" s="25"/>
    </row>
    <row r="20" spans="2:10" ht="25.5" customHeight="1">
      <c r="B20" s="24"/>
      <c r="C20" s="19" t="s">
        <v>57</v>
      </c>
      <c r="D20" s="23"/>
      <c r="F20" s="25"/>
      <c r="G20" s="25"/>
      <c r="H20" s="25"/>
      <c r="I20" s="25"/>
      <c r="J20" s="25"/>
    </row>
    <row r="21" spans="2:4" ht="25.5" customHeight="1">
      <c r="B21" s="24"/>
      <c r="C21" s="19" t="s">
        <v>58</v>
      </c>
      <c r="D21" s="23"/>
    </row>
    <row r="22" spans="2:4" ht="25.5" customHeight="1">
      <c r="B22" s="24"/>
      <c r="C22" s="19" t="s">
        <v>59</v>
      </c>
      <c r="D22" s="23"/>
    </row>
    <row r="23" spans="2:4" ht="38.25" customHeight="1">
      <c r="B23" s="24"/>
      <c r="C23" s="19" t="s">
        <v>60</v>
      </c>
      <c r="D23" s="23"/>
    </row>
    <row r="24" spans="2:4" ht="15" customHeight="1">
      <c r="B24" s="24"/>
      <c r="C24" s="19" t="s">
        <v>61</v>
      </c>
      <c r="D24" s="23"/>
    </row>
    <row r="25" spans="2:4" ht="25.5" customHeight="1">
      <c r="B25" s="24"/>
      <c r="C25" s="19" t="s">
        <v>62</v>
      </c>
      <c r="D25" s="23"/>
    </row>
    <row r="26" spans="2:4" ht="15" customHeight="1">
      <c r="B26" s="24"/>
      <c r="C26" s="19" t="s">
        <v>63</v>
      </c>
      <c r="D26" s="23"/>
    </row>
    <row r="27" spans="2:4" ht="25.5" customHeight="1">
      <c r="B27" s="24"/>
      <c r="C27" s="19" t="s">
        <v>64</v>
      </c>
      <c r="D27" s="23"/>
    </row>
    <row r="28" spans="2:4" ht="25.5" customHeight="1">
      <c r="B28" s="5" t="s">
        <v>65</v>
      </c>
      <c r="C28" s="26" t="s">
        <v>66</v>
      </c>
      <c r="D28" s="6" t="s">
        <v>67</v>
      </c>
    </row>
    <row r="32" spans="2:18" ht="15" customHeight="1">
      <c r="B32" s="27" t="s">
        <v>68</v>
      </c>
      <c r="C32" s="27"/>
      <c r="D32" s="27"/>
      <c r="E32" s="28"/>
      <c r="F32" s="28"/>
      <c r="G32" s="28"/>
      <c r="H32" s="28"/>
      <c r="I32" s="28"/>
      <c r="J32" s="28"/>
      <c r="K32" s="28"/>
      <c r="L32" s="28"/>
      <c r="M32" s="28"/>
      <c r="N32" s="28"/>
      <c r="O32" s="28"/>
      <c r="P32" s="28"/>
      <c r="Q32" s="28"/>
      <c r="R32" s="28"/>
    </row>
    <row r="33" spans="2:18" ht="15" customHeight="1">
      <c r="B33" s="27"/>
      <c r="C33" s="27"/>
      <c r="D33" s="27"/>
      <c r="E33" s="28"/>
      <c r="F33" s="28"/>
      <c r="G33" s="28"/>
      <c r="H33" s="28"/>
      <c r="I33" s="28"/>
      <c r="J33" s="28"/>
      <c r="K33" s="28"/>
      <c r="L33" s="28"/>
      <c r="M33" s="28"/>
      <c r="N33" s="28"/>
      <c r="O33" s="28"/>
      <c r="P33" s="28"/>
      <c r="Q33" s="28"/>
      <c r="R33" s="28"/>
    </row>
    <row r="34" spans="2:4" ht="15" customHeight="1">
      <c r="B34" s="29"/>
      <c r="C34" s="29"/>
      <c r="D34" s="29"/>
    </row>
    <row r="35" spans="2:5" ht="33" customHeight="1">
      <c r="B35" s="30" t="s">
        <v>69</v>
      </c>
      <c r="C35" s="30"/>
      <c r="D35" s="30"/>
      <c r="E35" s="31"/>
    </row>
    <row r="36" spans="2:4" ht="15" customHeight="1">
      <c r="B36" s="32" t="s">
        <v>70</v>
      </c>
      <c r="C36" s="29"/>
      <c r="D36" s="29"/>
    </row>
    <row r="37" spans="2:4" ht="15" customHeight="1">
      <c r="B37" s="29" t="s">
        <v>71</v>
      </c>
      <c r="C37" s="29"/>
      <c r="D37" s="29"/>
    </row>
    <row r="38" spans="2:4" ht="15" customHeight="1">
      <c r="B38" s="29" t="s">
        <v>72</v>
      </c>
      <c r="C38" s="29"/>
      <c r="D38" s="29"/>
    </row>
    <row r="39" spans="2:4" ht="15" customHeight="1">
      <c r="B39" s="29" t="s">
        <v>73</v>
      </c>
      <c r="C39" s="29"/>
      <c r="D39" s="29"/>
    </row>
    <row r="40" spans="2:4" ht="15" customHeight="1">
      <c r="B40" s="29" t="s">
        <v>74</v>
      </c>
      <c r="C40" s="29"/>
      <c r="D40" s="29"/>
    </row>
    <row r="41" spans="2:4" ht="15" customHeight="1">
      <c r="B41" s="29" t="s">
        <v>75</v>
      </c>
      <c r="C41" s="29"/>
      <c r="D41" s="29"/>
    </row>
    <row r="42" spans="2:4" ht="15" customHeight="1">
      <c r="B42" s="29" t="s">
        <v>76</v>
      </c>
      <c r="C42" s="29"/>
      <c r="D42" s="29"/>
    </row>
    <row r="43" spans="2:4" ht="15" customHeight="1">
      <c r="B43" s="29" t="s">
        <v>77</v>
      </c>
      <c r="C43" s="29"/>
      <c r="D43" s="29"/>
    </row>
    <row r="44" spans="2:4" ht="15" customHeight="1">
      <c r="B44" s="29" t="s">
        <v>78</v>
      </c>
      <c r="C44" s="29"/>
      <c r="D44" s="29"/>
    </row>
    <row r="45" spans="2:5" ht="47.25" customHeight="1">
      <c r="B45" s="33" t="s">
        <v>79</v>
      </c>
      <c r="C45" s="33"/>
      <c r="D45" s="33"/>
      <c r="E45" s="34"/>
    </row>
    <row r="46" spans="2:4" ht="32.25" customHeight="1">
      <c r="B46" s="33" t="s">
        <v>80</v>
      </c>
      <c r="C46" s="33"/>
      <c r="D46" s="33"/>
    </row>
    <row r="47" spans="2:14" ht="35.25" customHeight="1">
      <c r="B47" s="33" t="s">
        <v>81</v>
      </c>
      <c r="C47" s="33"/>
      <c r="D47" s="33"/>
      <c r="E47" s="34"/>
      <c r="F47" s="34"/>
      <c r="G47" s="34"/>
      <c r="H47" s="34"/>
      <c r="I47" s="34"/>
      <c r="J47" s="34"/>
      <c r="K47" s="34"/>
      <c r="L47" s="34"/>
      <c r="M47" s="34"/>
      <c r="N47" s="34"/>
    </row>
    <row r="48" spans="2:4" ht="15" customHeight="1">
      <c r="B48" s="29" t="s">
        <v>82</v>
      </c>
      <c r="C48" s="29"/>
      <c r="D48" s="29"/>
    </row>
    <row r="49" spans="2:4" ht="15" customHeight="1">
      <c r="B49" s="29" t="s">
        <v>83</v>
      </c>
      <c r="C49" s="29"/>
      <c r="D49" s="29"/>
    </row>
    <row r="50" spans="2:4" ht="15" customHeight="1">
      <c r="B50" s="29" t="s">
        <v>84</v>
      </c>
      <c r="C50" s="29"/>
      <c r="D50" s="29"/>
    </row>
    <row r="51" spans="2:4" ht="15" customHeight="1">
      <c r="B51" s="29" t="s">
        <v>85</v>
      </c>
      <c r="C51" s="29"/>
      <c r="D51" s="29"/>
    </row>
    <row r="52" spans="2:4" ht="15" customHeight="1">
      <c r="B52" s="29" t="s">
        <v>86</v>
      </c>
      <c r="C52" s="29"/>
      <c r="D52" s="29"/>
    </row>
    <row r="53" spans="2:4" ht="15" customHeight="1">
      <c r="B53" s="29" t="s">
        <v>87</v>
      </c>
      <c r="C53" s="29"/>
      <c r="D53" s="29"/>
    </row>
    <row r="54" spans="2:4" ht="15" customHeight="1">
      <c r="B54" s="29" t="s">
        <v>88</v>
      </c>
      <c r="C54" s="29"/>
      <c r="D54" s="29"/>
    </row>
    <row r="55" spans="2:4" ht="15" customHeight="1">
      <c r="B55" s="29" t="s">
        <v>89</v>
      </c>
      <c r="C55" s="29"/>
      <c r="D55" s="29"/>
    </row>
    <row r="56" spans="2:4" ht="32.25" customHeight="1">
      <c r="B56" s="33" t="s">
        <v>90</v>
      </c>
      <c r="C56" s="33"/>
      <c r="D56" s="33"/>
    </row>
    <row r="57" spans="2:4" ht="15" customHeight="1">
      <c r="B57" s="29" t="s">
        <v>91</v>
      </c>
      <c r="C57" s="29"/>
      <c r="D57" s="29"/>
    </row>
    <row r="58" spans="2:4" ht="15" customHeight="1">
      <c r="B58" s="29" t="s">
        <v>92</v>
      </c>
      <c r="C58" s="29"/>
      <c r="D58" s="29"/>
    </row>
    <row r="59" spans="2:4" ht="15" customHeight="1">
      <c r="B59" s="29" t="s">
        <v>93</v>
      </c>
      <c r="C59" s="29"/>
      <c r="D59" s="29"/>
    </row>
    <row r="60" spans="2:4" ht="30" customHeight="1">
      <c r="B60" s="33" t="s">
        <v>94</v>
      </c>
      <c r="C60" s="33"/>
      <c r="D60" s="33"/>
    </row>
    <row r="61" spans="2:4" ht="34.5" customHeight="1">
      <c r="B61" s="33" t="s">
        <v>95</v>
      </c>
      <c r="C61" s="33"/>
      <c r="D61" s="33"/>
    </row>
    <row r="62" spans="2:4" ht="15" customHeight="1">
      <c r="B62" s="29" t="s">
        <v>96</v>
      </c>
      <c r="C62" s="29"/>
      <c r="D62" s="29"/>
    </row>
    <row r="63" spans="2:18" ht="46.5" customHeight="1">
      <c r="B63" s="33" t="s">
        <v>97</v>
      </c>
      <c r="C63" s="33"/>
      <c r="D63" s="33"/>
      <c r="E63" s="34"/>
      <c r="F63" s="34"/>
      <c r="G63" s="34"/>
      <c r="H63" s="34"/>
      <c r="I63" s="34"/>
      <c r="J63" s="34"/>
      <c r="K63" s="34"/>
      <c r="L63" s="34"/>
      <c r="M63" s="34"/>
      <c r="N63" s="34"/>
      <c r="O63" s="34"/>
      <c r="P63" s="34"/>
      <c r="Q63" s="34"/>
      <c r="R63" s="34"/>
    </row>
    <row r="64" spans="2:4" ht="36" customHeight="1">
      <c r="B64" s="33" t="s">
        <v>98</v>
      </c>
      <c r="C64" s="33"/>
      <c r="D64" s="33"/>
    </row>
    <row r="65" spans="2:4" ht="33.75" customHeight="1">
      <c r="B65" s="33" t="s">
        <v>99</v>
      </c>
      <c r="C65" s="33"/>
      <c r="D65" s="33"/>
    </row>
    <row r="66" spans="2:4" ht="34.5" customHeight="1">
      <c r="B66" s="33" t="s">
        <v>100</v>
      </c>
      <c r="C66" s="33"/>
      <c r="D66" s="33"/>
    </row>
  </sheetData>
  <sheetProtection selectLockedCells="1" selectUnlockedCells="1"/>
  <mergeCells count="17">
    <mergeCell ref="B4:B5"/>
    <mergeCell ref="B9:B12"/>
    <mergeCell ref="D9:D10"/>
    <mergeCell ref="D13:D27"/>
    <mergeCell ref="F16:J20"/>
    <mergeCell ref="B32:D33"/>
    <mergeCell ref="B35:D35"/>
    <mergeCell ref="B45:D45"/>
    <mergeCell ref="B46:D46"/>
    <mergeCell ref="B47:D47"/>
    <mergeCell ref="B56:D56"/>
    <mergeCell ref="B60:D60"/>
    <mergeCell ref="B61:D61"/>
    <mergeCell ref="B63:D63"/>
    <mergeCell ref="B64:D64"/>
    <mergeCell ref="B65:D65"/>
    <mergeCell ref="B66:D66"/>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V183"/>
  <sheetViews>
    <sheetView showGridLines="0" showRowColHeaders="0" tabSelected="1" workbookViewId="0" topLeftCell="A1">
      <selection activeCell="D4" sqref="D4"/>
    </sheetView>
  </sheetViews>
  <sheetFormatPr defaultColWidth="1.1484375" defaultRowHeight="39.75" customHeight="1" zeroHeight="1"/>
  <cols>
    <col min="1" max="1" width="2.421875" style="35" customWidth="1"/>
    <col min="2" max="2" width="21.28125" style="36" customWidth="1"/>
    <col min="3" max="3" width="10.140625" style="36" customWidth="1"/>
    <col min="4" max="5" width="8.00390625" style="36" customWidth="1"/>
    <col min="6" max="6" width="5.421875" style="36" customWidth="1"/>
    <col min="7" max="7" width="7.421875" style="36" customWidth="1"/>
    <col min="8" max="8" width="9.00390625" style="36" customWidth="1"/>
    <col min="9" max="9" width="10.140625" style="36" customWidth="1"/>
    <col min="10" max="10" width="7.8515625" style="36" customWidth="1"/>
    <col min="11" max="11" width="9.57421875" style="36" customWidth="1"/>
    <col min="12" max="12" width="8.421875" style="36" customWidth="1"/>
    <col min="13" max="13" width="15.8515625" style="36" customWidth="1"/>
    <col min="14" max="14" width="8.57421875" style="35" customWidth="1"/>
    <col min="15" max="15" width="9.140625" style="35" customWidth="1"/>
    <col min="16" max="16" width="9.57421875" style="37" customWidth="1"/>
    <col min="17" max="17" width="2.57421875" style="38" customWidth="1"/>
    <col min="18" max="194" width="0" style="38" hidden="1" customWidth="1"/>
    <col min="195" max="16384" width="0" style="37" hidden="1" customWidth="1"/>
  </cols>
  <sheetData>
    <row r="1" spans="1:17" ht="14.25" customHeight="1">
      <c r="A1" s="39"/>
      <c r="B1" s="39"/>
      <c r="C1" s="40"/>
      <c r="D1" s="40"/>
      <c r="E1" s="40"/>
      <c r="F1" s="39"/>
      <c r="G1" s="39"/>
      <c r="H1" s="39"/>
      <c r="I1" s="39"/>
      <c r="J1" s="39"/>
      <c r="K1" s="39"/>
      <c r="L1" s="39"/>
      <c r="M1" s="39"/>
      <c r="N1" s="39"/>
      <c r="O1" s="39"/>
      <c r="P1" s="41"/>
      <c r="Q1" s="42"/>
    </row>
    <row r="2" spans="1:17" ht="37.5" customHeight="1">
      <c r="A2" s="39"/>
      <c r="B2" s="43"/>
      <c r="C2" s="43"/>
      <c r="D2" s="43"/>
      <c r="E2" s="43"/>
      <c r="F2" s="43"/>
      <c r="G2" s="43"/>
      <c r="H2" s="43"/>
      <c r="I2" s="43"/>
      <c r="J2" s="43"/>
      <c r="K2" s="43"/>
      <c r="L2" s="43"/>
      <c r="M2" s="43"/>
      <c r="N2" s="43"/>
      <c r="O2" s="43"/>
      <c r="P2" s="43"/>
      <c r="Q2" s="42"/>
    </row>
    <row r="3" spans="1:46" ht="28.5" customHeight="1">
      <c r="A3" s="44"/>
      <c r="B3" s="45" t="s">
        <v>101</v>
      </c>
      <c r="C3" s="45"/>
      <c r="D3" s="45"/>
      <c r="E3" s="45"/>
      <c r="F3" s="45"/>
      <c r="G3" s="45"/>
      <c r="H3" s="45"/>
      <c r="I3" s="45"/>
      <c r="J3" s="45"/>
      <c r="K3" s="45"/>
      <c r="L3" s="45"/>
      <c r="M3" s="45"/>
      <c r="N3" s="45"/>
      <c r="O3" s="45"/>
      <c r="P3" s="45"/>
      <c r="Q3" s="42"/>
      <c r="Z3" s="38">
        <v>1</v>
      </c>
      <c r="AA3" s="38">
        <f>VLOOKUP(Z3,AA4:AB22,2,0)</f>
        <v>0</v>
      </c>
      <c r="AB3" s="38">
        <v>6</v>
      </c>
      <c r="AC3" s="38">
        <f>VLOOKUP(AB3,AA4:AC22,3,0)</f>
        <v>0</v>
      </c>
      <c r="AF3" s="38" t="s">
        <v>102</v>
      </c>
      <c r="AG3" s="38">
        <f>AB181</f>
        <v>56870</v>
      </c>
      <c r="AP3" s="38">
        <v>1</v>
      </c>
      <c r="AQ3" s="38">
        <v>2</v>
      </c>
      <c r="AR3" s="38">
        <v>3</v>
      </c>
      <c r="AS3" s="38">
        <v>4</v>
      </c>
      <c r="AT3" s="38">
        <v>5</v>
      </c>
    </row>
    <row r="4" spans="1:53" ht="24.75" customHeight="1">
      <c r="A4" s="44"/>
      <c r="B4" s="46" t="s">
        <v>103</v>
      </c>
      <c r="C4" s="47"/>
      <c r="D4" s="48" t="s">
        <v>104</v>
      </c>
      <c r="E4" s="48"/>
      <c r="F4" s="48"/>
      <c r="G4" s="48"/>
      <c r="H4" s="48"/>
      <c r="I4" s="48"/>
      <c r="J4" s="49" t="s">
        <v>105</v>
      </c>
      <c r="K4" s="49"/>
      <c r="L4" s="48" t="s">
        <v>106</v>
      </c>
      <c r="M4" s="48"/>
      <c r="N4" s="48"/>
      <c r="O4" s="48"/>
      <c r="P4" s="48"/>
      <c r="Q4" s="42"/>
      <c r="AA4" s="38">
        <v>1</v>
      </c>
      <c r="AB4" s="38" t="s">
        <v>107</v>
      </c>
      <c r="AC4" s="38">
        <f>IF(Z3&lt;=2,"(Telugu)","")</f>
        <v>0</v>
      </c>
      <c r="AF4" s="38" t="s">
        <v>108</v>
      </c>
      <c r="AG4" s="38">
        <f>AB183</f>
        <v>56870</v>
      </c>
      <c r="AN4" s="38">
        <v>2</v>
      </c>
      <c r="AO4" s="38" t="s">
        <v>109</v>
      </c>
      <c r="AP4" s="38">
        <f>IF(AN4&gt;=AG6,AH6,AG4)</f>
        <v>56870</v>
      </c>
      <c r="AQ4" s="38">
        <f>IF(AN4&gt;=AG6,AI6,AG4)</f>
        <v>56870</v>
      </c>
      <c r="AR4" s="38">
        <f>AG4</f>
        <v>56870</v>
      </c>
      <c r="AS4" s="38">
        <f>AG4</f>
        <v>56870</v>
      </c>
      <c r="AT4" s="38">
        <f>AG4</f>
        <v>56870</v>
      </c>
      <c r="AZ4" s="38">
        <v>1</v>
      </c>
      <c r="BA4" s="50" t="s">
        <v>110</v>
      </c>
    </row>
    <row r="5" spans="1:53" ht="24.75" customHeight="1">
      <c r="A5" s="44"/>
      <c r="B5" s="51" t="s">
        <v>111</v>
      </c>
      <c r="C5" s="48" t="s">
        <v>112</v>
      </c>
      <c r="D5" s="48"/>
      <c r="E5" s="48"/>
      <c r="F5" s="48"/>
      <c r="G5" s="48"/>
      <c r="H5" s="48"/>
      <c r="I5" s="48"/>
      <c r="J5" s="52" t="s">
        <v>113</v>
      </c>
      <c r="K5" s="52"/>
      <c r="L5" s="48" t="s">
        <v>114</v>
      </c>
      <c r="M5" s="48"/>
      <c r="N5" s="48"/>
      <c r="O5" s="48"/>
      <c r="P5" s="48"/>
      <c r="Q5" s="42"/>
      <c r="Z5" s="38">
        <f>L4</f>
        <v>0</v>
      </c>
      <c r="AA5" s="38">
        <v>2</v>
      </c>
      <c r="AB5" s="38" t="s">
        <v>115</v>
      </c>
      <c r="AC5" s="38">
        <f>IF(Z3&lt;=2,"(Hindi)","")</f>
        <v>0</v>
      </c>
      <c r="AH5" s="38" t="s">
        <v>116</v>
      </c>
      <c r="AJ5" s="38" t="s">
        <v>117</v>
      </c>
      <c r="AK5" s="38" t="s">
        <v>118</v>
      </c>
      <c r="AL5" s="38" t="s">
        <v>119</v>
      </c>
      <c r="AN5" s="38">
        <v>3</v>
      </c>
      <c r="AO5" s="38" t="s">
        <v>120</v>
      </c>
      <c r="AP5" s="38">
        <f>IF(AND(AN5&gt;AG8),AH8,IF(AND(AN5&gt;AG7),AH7,IF(AND(AN5&gt;=AG6),AH6,AG4)))</f>
        <v>56870</v>
      </c>
      <c r="AQ5" s="38">
        <f>IF(AND(AN5&gt;AG7),AI7,IF(AND(AN5&gt;AG8),AI8,IF(AND(AN5&gt;=AG6),AI6,AG4)))</f>
        <v>56870</v>
      </c>
      <c r="AR5" s="38">
        <f>IF(AND(AN5&gt;AG8),AJ8,IF(AND(AN5&gt;=AG6),AJ6,IF(AND(AN5&gt;AG7),AJ7,AG4)))</f>
        <v>56870</v>
      </c>
      <c r="AS5" s="38">
        <f>IF(AND(AN5&gt;=AG6),AK6,IF(AND(AN5&gt;AG8),AK8,IF(AND(AN5&gt;AG7),AK7,AG4)))</f>
        <v>56870</v>
      </c>
      <c r="AT5" s="38">
        <f>IF(AND(AN5&gt;AG7),AL7,IF(AND(AN5&gt;=AG6),AL6,IF(AND(AN5&gt;AG8),AL8,AG4)))</f>
        <v>56870</v>
      </c>
      <c r="AZ5" s="38">
        <v>2</v>
      </c>
      <c r="BA5" s="50" t="s">
        <v>121</v>
      </c>
    </row>
    <row r="6" spans="1:53" ht="27.75" customHeight="1">
      <c r="A6" s="44"/>
      <c r="B6" s="53" t="s">
        <v>122</v>
      </c>
      <c r="C6" s="54"/>
      <c r="D6" s="54"/>
      <c r="E6" s="55" t="s">
        <v>123</v>
      </c>
      <c r="F6" s="55"/>
      <c r="G6" s="55"/>
      <c r="H6" s="56"/>
      <c r="I6" s="53" t="s">
        <v>124</v>
      </c>
      <c r="J6" s="57">
        <v>700</v>
      </c>
      <c r="K6" s="58" t="s">
        <v>125</v>
      </c>
      <c r="L6" s="57">
        <v>0</v>
      </c>
      <c r="M6" s="59" t="s">
        <v>126</v>
      </c>
      <c r="N6" s="57">
        <v>0</v>
      </c>
      <c r="O6" s="58" t="s">
        <v>127</v>
      </c>
      <c r="P6" s="57">
        <v>0</v>
      </c>
      <c r="Q6" s="42"/>
      <c r="AA6" s="38">
        <v>3</v>
      </c>
      <c r="AB6" s="38" t="s">
        <v>128</v>
      </c>
      <c r="AC6" s="38">
        <f>IF(Z3&lt;=2,"(Urdu)","")</f>
        <v>0</v>
      </c>
      <c r="AF6" s="38" t="s">
        <v>129</v>
      </c>
      <c r="AG6" s="38">
        <f>IF(AA64=1,25,AA64)</f>
        <v>9</v>
      </c>
      <c r="AH6" s="38">
        <f>VLOOKUP(AG4,AE93:AF178,2,0)</f>
        <v>58330</v>
      </c>
      <c r="AI6" s="38">
        <f>VLOOKUP(AG4,AE93:AF178,2,0)</f>
        <v>58330</v>
      </c>
      <c r="AJ6" s="38">
        <f>VLOOKUP(AJ7,AE93:AF178,2,0)</f>
        <v>59890</v>
      </c>
      <c r="AK6" s="38">
        <f>VLOOKUP(AK8,AE93:AF178,2,0)</f>
        <v>61450</v>
      </c>
      <c r="AL6" s="60">
        <f>IF(AND(Z3=1,AG4=14050),15280,IF(AND(Z3=6,AG4=14050),15280,IF(AND(Z3=5,AG4=17050),18520,IF(T111=1,VLOOKUP(AL8,AE93:AG172,2,0),VLOOKUP(AL8,AE93:AG172,3,0)))))</f>
        <v>61450</v>
      </c>
      <c r="AN6" s="38">
        <v>4</v>
      </c>
      <c r="AO6" s="38" t="s">
        <v>130</v>
      </c>
      <c r="AP6" s="38">
        <f>IF(AND(AN6&gt;AG8),AH8,IF(AND(AN6&gt;AG7),AH7,IF(AND(AN6&gt;=AG6),AH6,AG4)))</f>
        <v>56870</v>
      </c>
      <c r="AQ6" s="38">
        <f>IF(AND(AN6&gt;AG7),AI7,IF(AND(AN6&gt;AG8),AI8,IF(AND(AN6&gt;=AG6),AI6,AG4)))</f>
        <v>56870</v>
      </c>
      <c r="AR6" s="38">
        <f>IF(AND(AN6&gt;AG8),AJ8,IF(AND(AN6&gt;=AG6),AJ6,IF(AND(AN6&gt;AG7),AJ7,AG4)))</f>
        <v>56870</v>
      </c>
      <c r="AS6" s="38">
        <f>IF(AND(AN6&gt;=AG6),AK6,IF(AND(AN6&gt;AG8),AK8,IF(AND(AN6&gt;AG7),AK7,AG4)))</f>
        <v>56870</v>
      </c>
      <c r="AT6" s="38">
        <f>IF(AND(AN6&gt;AG7),AL7,IF(AND(AN6&gt;=AG6),AL6,IF(AND(AN6&gt;AG8),AL8,AG4)))</f>
        <v>56870</v>
      </c>
      <c r="AZ6" s="38">
        <v>3</v>
      </c>
      <c r="BA6" s="50" t="s">
        <v>131</v>
      </c>
    </row>
    <row r="7" spans="1:53" ht="25.5" customHeight="1">
      <c r="A7" s="44"/>
      <c r="B7" s="58" t="s">
        <v>132</v>
      </c>
      <c r="C7" s="61"/>
      <c r="D7" s="62"/>
      <c r="E7" s="63" t="s">
        <v>133</v>
      </c>
      <c r="F7" s="63"/>
      <c r="G7" s="63"/>
      <c r="H7" s="63"/>
      <c r="I7" s="63"/>
      <c r="J7" s="61"/>
      <c r="K7" s="64"/>
      <c r="L7" s="64"/>
      <c r="M7" s="65" t="s">
        <v>134</v>
      </c>
      <c r="N7" s="64"/>
      <c r="O7" s="66" t="s">
        <v>135</v>
      </c>
      <c r="P7" s="67"/>
      <c r="Q7" s="42"/>
      <c r="AA7" s="38">
        <v>4</v>
      </c>
      <c r="AB7" s="38" t="s">
        <v>136</v>
      </c>
      <c r="AC7" s="38">
        <f>IF(Z3&lt;=2,"(                    )","")</f>
        <v>0</v>
      </c>
      <c r="AF7" s="38" t="s">
        <v>137</v>
      </c>
      <c r="AG7" s="38">
        <f>IF(AA79=2,25,AA81+1)</f>
        <v>25</v>
      </c>
      <c r="AH7" s="38">
        <f>VLOOKUP(AH6,AE93:AF178,2,0)</f>
        <v>59890</v>
      </c>
      <c r="AI7" s="38">
        <f>VLOOKUP(AI8,AE93:AF178,2,0)</f>
        <v>61450</v>
      </c>
      <c r="AJ7" s="38">
        <f>VLOOKUP(AG4,AE93:AF178,2,0)</f>
        <v>58330</v>
      </c>
      <c r="AK7" s="38">
        <f>VLOOKUP(AG4,AE93:AF178,2,0)</f>
        <v>58330</v>
      </c>
      <c r="AL7" s="60">
        <f>VLOOKUP(AL6,AE93:AF172,2,0)</f>
        <v>63010</v>
      </c>
      <c r="AN7" s="38">
        <v>5</v>
      </c>
      <c r="AO7" s="38" t="s">
        <v>138</v>
      </c>
      <c r="AP7" s="38">
        <f>IF(AND(AN7&gt;AG8),AH8,IF(AND(AN7&gt;AG7),AH7,IF(AND(AN7&gt;=AG6),AH6,AG4)))</f>
        <v>56870</v>
      </c>
      <c r="AQ7" s="38">
        <f>IF(AND(AN7&gt;AG7),AI7,IF(AND(AN7&gt;AG8),AI8,IF(AND(AN7&gt;=AG6),AI6,AG4)))</f>
        <v>56870</v>
      </c>
      <c r="AR7" s="38">
        <f>IF(AND(AN7&gt;AG8),AJ8,IF(AND(AN7&gt;=AG6),AJ6,IF(AND(AN7&gt;AG7),AJ7,AG4)))</f>
        <v>56870</v>
      </c>
      <c r="AS7" s="38">
        <f>IF(AND(AN7&gt;=AG6),AK6,IF(AND(AN7&gt;AG8),AK8,IF(AND(AN7&gt;AG7),AK7,AG4)))</f>
        <v>56870</v>
      </c>
      <c r="AT7" s="38">
        <f>IF(AND(AN7&gt;AG7),AL7,IF(AND(AN7&gt;=AG6),AL6,IF(AND(AN7&gt;AG8),AL8,AG4)))</f>
        <v>56870</v>
      </c>
      <c r="AZ7" s="38">
        <v>4</v>
      </c>
      <c r="BA7" s="50" t="s">
        <v>139</v>
      </c>
    </row>
    <row r="8" spans="1:53" ht="26.25" customHeight="1">
      <c r="A8" s="44"/>
      <c r="B8" s="52" t="s">
        <v>140</v>
      </c>
      <c r="C8" s="68"/>
      <c r="D8" s="59" t="s">
        <v>141</v>
      </c>
      <c r="E8" s="59"/>
      <c r="F8" s="59"/>
      <c r="G8" s="59"/>
      <c r="H8" s="69"/>
      <c r="I8" s="70"/>
      <c r="J8" s="71"/>
      <c r="K8" s="72" t="s">
        <v>142</v>
      </c>
      <c r="L8" s="72"/>
      <c r="M8" s="72"/>
      <c r="N8" s="72"/>
      <c r="O8" s="73"/>
      <c r="P8" s="74"/>
      <c r="Q8" s="42"/>
      <c r="AA8" s="38">
        <v>5</v>
      </c>
      <c r="AB8" s="38" t="s">
        <v>143</v>
      </c>
      <c r="AC8" s="38">
        <f>IF(Z3=1,"(English)","")</f>
        <v>0</v>
      </c>
      <c r="AF8" s="38" t="s">
        <v>144</v>
      </c>
      <c r="AG8" s="38">
        <f>IF(U90=2,25,W93+1)</f>
        <v>25</v>
      </c>
      <c r="AH8" s="38">
        <f>MAX(AF9,AG9)</f>
        <v>61450</v>
      </c>
      <c r="AI8" s="38">
        <f>MAX(AF10,AG9)</f>
        <v>59890</v>
      </c>
      <c r="AJ8" s="38">
        <f>MAX(AF11,AG9)</f>
        <v>61450</v>
      </c>
      <c r="AK8" s="38">
        <f>MAX(AF17,AG9)</f>
        <v>59890</v>
      </c>
      <c r="AL8" s="75">
        <f>MAX(AF18,AG9)</f>
        <v>58330</v>
      </c>
      <c r="AN8" s="38">
        <v>6</v>
      </c>
      <c r="AO8" s="38" t="s">
        <v>145</v>
      </c>
      <c r="AP8" s="38">
        <f>IF(AND(AN8&gt;AG8),AH8,IF(AND(AN8&gt;AG7),AH7,IF(AND(AN8&gt;=AG6),AH6,AG4)))</f>
        <v>56870</v>
      </c>
      <c r="AQ8" s="38">
        <f>IF(AND(AN8&gt;AG7),AI7,IF(AND(AN8&gt;AG8),AI8,IF(AND(AN8&gt;=AG6),AI6,AG4)))</f>
        <v>56870</v>
      </c>
      <c r="AR8" s="38">
        <f>IF(AND(AN8&gt;AG8),AJ8,IF(AND(AN8&gt;=AG6),AJ6,IF(AND(AN8&gt;AG7),AJ7,AG4)))</f>
        <v>56870</v>
      </c>
      <c r="AS8" s="38">
        <f>IF(AND(AN8&gt;=AG6),AK6,IF(AND(AN8&gt;AG8),AK8,IF(AND(AN8&gt;AG7),AK7,AG4)))</f>
        <v>56870</v>
      </c>
      <c r="AT8" s="38">
        <f>IF(AND(AN8&gt;AG7),AL7,IF(AND(AN8&gt;=AG6),AL6,IF(AND(AN8&gt;AG8),AL8,AG4)))</f>
        <v>56870</v>
      </c>
      <c r="AZ8" s="38">
        <v>5</v>
      </c>
      <c r="BA8" s="50" t="s">
        <v>146</v>
      </c>
    </row>
    <row r="9" spans="1:53" ht="24" customHeight="1">
      <c r="A9" s="44"/>
      <c r="B9" s="58" t="s">
        <v>147</v>
      </c>
      <c r="C9" s="76"/>
      <c r="D9" s="77" t="s">
        <v>148</v>
      </c>
      <c r="E9" s="77"/>
      <c r="F9" s="77"/>
      <c r="G9" s="77"/>
      <c r="H9" s="78"/>
      <c r="I9" s="79"/>
      <c r="J9" s="80" t="s">
        <v>149</v>
      </c>
      <c r="K9" s="80"/>
      <c r="L9" s="81"/>
      <c r="M9" s="82" t="s">
        <v>150</v>
      </c>
      <c r="N9" s="82"/>
      <c r="O9" s="61"/>
      <c r="P9" s="83"/>
      <c r="Q9" s="42"/>
      <c r="AA9" s="38">
        <v>6</v>
      </c>
      <c r="AB9" s="38" t="s">
        <v>151</v>
      </c>
      <c r="AC9" s="38">
        <f>IF(Z3=1,"(Maths)","")</f>
        <v>0</v>
      </c>
      <c r="AF9" s="38">
        <f>IF(T111=2,VLOOKUP(AH7,AE93:AG172,2,0),VLOOKUP(AH7,AE93:AG172,3,0))</f>
        <v>61450</v>
      </c>
      <c r="AG9" s="38">
        <f>IF(Z3=5,18030,IF(Z3=1,14860,IF(Z3=6,14860,0)))</f>
        <v>14860</v>
      </c>
      <c r="AH9" s="38">
        <f>IF(AND(AG8&lt;AG6,AG6&lt;=AG7),5,IF(AND(AG6&lt;=AG7,AG8&lt;=AG7),2,IF(AND(AG6&lt;=AG7,AG6&lt;=AG8),1,IF(AND(AG7&lt;AG6,AG8&lt;AG6),4,IF(AND(AG7&lt;AG6,AG7&lt;=AG8),3)))))</f>
        <v>2</v>
      </c>
      <c r="AJ9" s="84"/>
      <c r="AN9" s="38">
        <v>7</v>
      </c>
      <c r="AO9" s="38" t="s">
        <v>152</v>
      </c>
      <c r="AP9" s="38">
        <f>IF(AND(AN9&gt;AG8),AH8,IF(AND(AN9&gt;AG7),AH7,IF(AND(AN9&gt;=AG6),AH6,AG4)))</f>
        <v>56870</v>
      </c>
      <c r="AQ9" s="38">
        <f>IF(AND(AN9&gt;AG7),AI7,IF(AND(AN9&gt;AG8),AI8,IF(AND(AN9&gt;=AG6),AI6,AG4)))</f>
        <v>56870</v>
      </c>
      <c r="AR9" s="38">
        <f>IF(AND(AN9&gt;AG8),AJ8,IF(AND(AN9&gt;=AG6),AJ6,IF(AND(AN9&gt;AG7),AJ7,AG4)))</f>
        <v>56870</v>
      </c>
      <c r="AS9" s="38">
        <f>IF(AND(AN9&gt;=AG6),AK6,IF(AND(AN9&gt;AG8),AK8,IF(AND(AN9&gt;AG7),AK7,AG4)))</f>
        <v>56870</v>
      </c>
      <c r="AT9" s="38">
        <f>IF(AND(AN9&gt;AG7),AL7,IF(AND(AN9&gt;=AG6),AL6,IF(AND(AN9&gt;AG8),AL8,AG4)))</f>
        <v>56870</v>
      </c>
      <c r="AZ9" s="38">
        <v>6</v>
      </c>
      <c r="BA9" s="50" t="s">
        <v>153</v>
      </c>
    </row>
    <row r="10" spans="1:53" ht="26.25" customHeight="1">
      <c r="A10" s="44"/>
      <c r="B10" s="85" t="s">
        <v>154</v>
      </c>
      <c r="C10" s="86">
        <v>0</v>
      </c>
      <c r="D10" s="59" t="s">
        <v>155</v>
      </c>
      <c r="E10" s="59"/>
      <c r="F10" s="59"/>
      <c r="G10" s="59"/>
      <c r="H10" s="73"/>
      <c r="I10" s="87"/>
      <c r="J10" s="59" t="s">
        <v>156</v>
      </c>
      <c r="K10" s="59"/>
      <c r="L10" s="57">
        <v>0</v>
      </c>
      <c r="M10" s="88" t="s">
        <v>157</v>
      </c>
      <c r="N10" s="88"/>
      <c r="O10" s="88"/>
      <c r="P10" s="57">
        <v>0</v>
      </c>
      <c r="Q10" s="42"/>
      <c r="AA10" s="38">
        <v>7</v>
      </c>
      <c r="AB10" s="38" t="s">
        <v>158</v>
      </c>
      <c r="AC10" s="38">
        <f>IF(Z3=1,"(Phy.Sci.)","")</f>
        <v>0</v>
      </c>
      <c r="AF10" s="38">
        <f>IF(T111=2,VLOOKUP(AI6,AE93:AG172,2,0),VLOOKUP(AI6,AE93:AG172,3,0))</f>
        <v>59890</v>
      </c>
      <c r="AJ10" s="84"/>
      <c r="AN10" s="38">
        <v>8</v>
      </c>
      <c r="AO10" s="38" t="s">
        <v>159</v>
      </c>
      <c r="AP10" s="38">
        <f>IF(AND(AN10&gt;AG8),AH8,IF(AND(AN10&gt;AG7),AH7,IF(AND(AN10&gt;=AG6),AH6,AG4)))</f>
        <v>56870</v>
      </c>
      <c r="AQ10" s="38">
        <f>IF(AND(AN10&gt;AG7),AI7,IF(AND(AN10&gt;AG8),AI8,IF(AND(AN10&gt;=AG6),AI6,AG4)))</f>
        <v>56870</v>
      </c>
      <c r="AR10" s="38">
        <f>IF(AND(AN10&gt;AG8),AJ8,IF(AND(AN10&gt;=AG6),AJ6,IF(AND(AN10&gt;AG7),AJ7,AG4)))</f>
        <v>56870</v>
      </c>
      <c r="AS10" s="38">
        <f>IF(AND(AN10&gt;=AG6),AK6,IF(AND(AN10&gt;AG8),AK8,IF(AND(AN10&gt;AG7),AK7,AG4)))</f>
        <v>56870</v>
      </c>
      <c r="AT10" s="38">
        <f>IF(AND(AN10&gt;AG7),AL7,IF(AND(AN10&gt;=AG6),AL6,IF(AND(AN10&gt;AG8),AL8,AG4)))</f>
        <v>56870</v>
      </c>
      <c r="AZ10" s="38">
        <v>7</v>
      </c>
      <c r="BA10" s="50" t="s">
        <v>160</v>
      </c>
    </row>
    <row r="11" spans="1:53" ht="26.25" customHeight="1">
      <c r="A11" s="44"/>
      <c r="B11" s="89" t="s">
        <v>161</v>
      </c>
      <c r="C11" s="89"/>
      <c r="D11" s="89"/>
      <c r="E11" s="89"/>
      <c r="F11" s="89"/>
      <c r="G11" s="89"/>
      <c r="H11" s="90"/>
      <c r="I11" s="59"/>
      <c r="J11" s="59"/>
      <c r="K11" s="59"/>
      <c r="L11" s="59"/>
      <c r="M11" s="59"/>
      <c r="N11" s="59"/>
      <c r="O11" s="59"/>
      <c r="P11" s="59"/>
      <c r="Q11" s="42"/>
      <c r="AA11" s="38">
        <v>8</v>
      </c>
      <c r="AB11" s="38" t="s">
        <v>162</v>
      </c>
      <c r="AC11" s="38">
        <f>IF(Z3=1,"(Bio.Sci.)","")</f>
        <v>0</v>
      </c>
      <c r="AF11" s="38">
        <f>IF(T111=2,VLOOKUP(AJ6,AE93:AG172,2,0),VLOOKUP(AJ6,AE93:AG172,3,0))</f>
        <v>61450</v>
      </c>
      <c r="AJ11" s="84"/>
      <c r="AN11" s="38">
        <v>9</v>
      </c>
      <c r="AO11" s="38" t="s">
        <v>163</v>
      </c>
      <c r="AP11" s="38">
        <f>IF(AND(AN11&gt;AG8),AH8,IF(AND(AN11&gt;AG7),AH7,IF(AND(AN11&gt;=AG6),AH6,AG4)))</f>
        <v>58330</v>
      </c>
      <c r="AQ11" s="38">
        <f>IF(AND(AN11&gt;AG7),AI7,IF(AND(AN11&gt;AG8),AI8,IF(AND(AN11&gt;=AG6),AI6,AG4)))</f>
        <v>58330</v>
      </c>
      <c r="AR11" s="38">
        <f>IF(AND(AN11&gt;AG8),AJ8,IF(AND(AN11&gt;=AG6),AJ6,IF(AND(AN11&gt;AG7),AJ7,AG4)))</f>
        <v>59890</v>
      </c>
      <c r="AS11" s="38">
        <f>IF(AND(AN11&gt;=AG6),AK6,IF(AND(AN11&gt;AG8),AK8,IF(AND(AN11&gt;AG7),AK7,AG4)))</f>
        <v>61450</v>
      </c>
      <c r="AT11" s="38">
        <f>IF(AND(AN11&gt;AG7),AL7,IF(AND(AN11&gt;=AG6),AL6,IF(AND(AN11&gt;AG8),AL8,AG4)))</f>
        <v>61450</v>
      </c>
      <c r="AZ11" s="38">
        <v>8</v>
      </c>
      <c r="BA11" s="50" t="s">
        <v>31</v>
      </c>
    </row>
    <row r="12" spans="1:53" ht="23.25" customHeight="1">
      <c r="A12" s="44"/>
      <c r="B12" s="91" t="s">
        <v>164</v>
      </c>
      <c r="C12" s="92" t="s">
        <v>165</v>
      </c>
      <c r="D12" s="93">
        <v>0</v>
      </c>
      <c r="E12" s="94" t="s">
        <v>166</v>
      </c>
      <c r="F12" s="94"/>
      <c r="G12" s="94"/>
      <c r="H12" s="94"/>
      <c r="I12" s="95">
        <v>0</v>
      </c>
      <c r="J12" s="96" t="s">
        <v>167</v>
      </c>
      <c r="K12" s="96"/>
      <c r="L12" s="96"/>
      <c r="M12" s="96"/>
      <c r="N12" s="96"/>
      <c r="O12" s="96"/>
      <c r="P12" s="97" t="s">
        <v>168</v>
      </c>
      <c r="Q12" s="42"/>
      <c r="AA12" s="37"/>
      <c r="AB12" s="37"/>
      <c r="AC12" s="37"/>
      <c r="AD12" s="37"/>
      <c r="AE12" s="37"/>
      <c r="AF12" s="37"/>
      <c r="AJ12" s="84"/>
      <c r="AN12" s="38">
        <v>10</v>
      </c>
      <c r="AO12" s="38" t="s">
        <v>169</v>
      </c>
      <c r="AP12" s="38">
        <f>IF(AND(AN12&gt;AG8),AH8,IF(AND(AN12&gt;AG7),AH7,IF(AND(AN12&gt;=AG6),AH6,AG4)))</f>
        <v>58330</v>
      </c>
      <c r="AQ12" s="38">
        <f>IF(AND(AN12&gt;AG7),AI7,IF(AND(AN12&gt;AG8),AI8,IF(AND(AN12&gt;=AG6),AI6,AG4)))</f>
        <v>58330</v>
      </c>
      <c r="AR12" s="38">
        <f>IF(AND(AN12&gt;AG8),AJ8,IF(AND(AN12&gt;=AG6),AJ6,IF(AND(AN12&gt;AG7),AJ7,AG4)))</f>
        <v>59890</v>
      </c>
      <c r="AS12" s="38">
        <f>IF(AND(AN12&gt;=AG6),AK6,IF(AND(AN12&gt;AG8),AK8,IF(AND(AN12&gt;AG7),AK7,AG4)))</f>
        <v>61450</v>
      </c>
      <c r="AT12" s="38">
        <f>IF(AND(AN12&gt;AG7),AL7,IF(AND(AN12&gt;=AG6),AL6,IF(AND(AN12&gt;AG8),AL8,AG4)))</f>
        <v>61450</v>
      </c>
      <c r="AZ12" s="38">
        <v>9</v>
      </c>
      <c r="BA12" s="50" t="s">
        <v>170</v>
      </c>
    </row>
    <row r="13" spans="1:53" ht="23.25" customHeight="1">
      <c r="A13" s="44"/>
      <c r="B13" s="91"/>
      <c r="C13" s="92" t="s">
        <v>171</v>
      </c>
      <c r="D13" s="93">
        <v>0</v>
      </c>
      <c r="E13" s="94"/>
      <c r="F13" s="94"/>
      <c r="G13" s="94"/>
      <c r="H13" s="94"/>
      <c r="I13" s="95"/>
      <c r="J13" s="98" t="s">
        <v>172</v>
      </c>
      <c r="K13" s="98"/>
      <c r="L13" s="98"/>
      <c r="M13" s="98"/>
      <c r="N13" s="99">
        <v>0</v>
      </c>
      <c r="O13" s="99"/>
      <c r="P13" s="97"/>
      <c r="Q13" s="42"/>
      <c r="AJ13" s="84"/>
      <c r="AN13" s="38">
        <v>11</v>
      </c>
      <c r="AO13" s="38" t="s">
        <v>173</v>
      </c>
      <c r="AP13" s="38">
        <f>IF(AND(AN13&gt;AG8),AH8,IF(AND(AN13&gt;AG7),AH7,IF(AND(AN13&gt;=AG6),AH6,AG4)))</f>
        <v>58330</v>
      </c>
      <c r="AQ13" s="38">
        <f>IF(AND(AN13&gt;AG7),AI7,IF(AND(AN13&gt;AG8),AI8,IF(AND(AN13&gt;=AG6),AI6,AG4)))</f>
        <v>58330</v>
      </c>
      <c r="AR13" s="38">
        <f>IF(AND(AN13&gt;AG8),AJ8,IF(AND(AN13&gt;=AG6),AJ6,IF(AND(AN13&gt;AG7),AJ7,AG4)))</f>
        <v>59890</v>
      </c>
      <c r="AS13" s="38">
        <f>IF(AND(AN13&gt;=AG6),AK6,IF(AND(AN13&gt;AG8),AK8,IF(AND(AN13&gt;AG7),AK7,AG4)))</f>
        <v>61450</v>
      </c>
      <c r="AT13" s="38">
        <f>IF(AND(AN13&gt;AG7),AL7,IF(AND(AN13&gt;=AG6),AL6,IF(AND(AN13&gt;AG8),AL8,AG4)))</f>
        <v>61450</v>
      </c>
      <c r="AZ13" s="37"/>
      <c r="BA13" s="37"/>
    </row>
    <row r="14" spans="1:46" ht="23.25" customHeight="1">
      <c r="A14" s="44"/>
      <c r="B14" s="91"/>
      <c r="C14" s="92" t="s">
        <v>174</v>
      </c>
      <c r="D14" s="93">
        <v>0</v>
      </c>
      <c r="E14" s="94"/>
      <c r="F14" s="94"/>
      <c r="G14" s="94"/>
      <c r="H14" s="94"/>
      <c r="I14" s="95"/>
      <c r="J14" s="98" t="s">
        <v>175</v>
      </c>
      <c r="K14" s="98"/>
      <c r="L14" s="98"/>
      <c r="M14" s="98"/>
      <c r="N14" s="99">
        <v>0</v>
      </c>
      <c r="O14" s="99"/>
      <c r="P14" s="97"/>
      <c r="Q14" s="42"/>
      <c r="AJ14" s="84"/>
      <c r="AN14" s="38">
        <v>12</v>
      </c>
      <c r="AO14" s="38" t="s">
        <v>176</v>
      </c>
      <c r="AP14" s="38">
        <f>IF(AND(AN14&gt;AG8),AH8,IF(AND(AN14&gt;AG7),AH7,IF(AND(AN14&gt;=AG6),AH6,AG4)))</f>
        <v>58330</v>
      </c>
      <c r="AQ14" s="38">
        <f>IF(AND(AN14&gt;AG7),AI7,IF(AND(AN14&gt;AG8),AI8,IF(AND(AN14&gt;=AG6),AI6,AG4)))</f>
        <v>58330</v>
      </c>
      <c r="AR14" s="38">
        <f>IF(AND(AN14&gt;AG8),AJ8,IF(AND(AN14&gt;=AG6),AJ6,IF(AND(AN14&gt;AG7),AJ7,AG4)))</f>
        <v>59890</v>
      </c>
      <c r="AS14" s="38">
        <f>IF(AND(AN14&gt;AG6),AK6,IF(AND(AN14&gt;AG8),AK8,IF(AND(AN14&gt;AG7),AK7,AG4)))</f>
        <v>61450</v>
      </c>
      <c r="AT14" s="38">
        <f>IF(AND(AN14&gt;AG7),AL7,IF(AND(AN14&gt;=AG6),AL6,IF(AND(AN14&gt;AG8),AL8,AG4)))</f>
        <v>61450</v>
      </c>
    </row>
    <row r="15" spans="1:53" ht="23.25" customHeight="1">
      <c r="A15" s="44"/>
      <c r="B15" s="91"/>
      <c r="C15" s="100" t="s">
        <v>127</v>
      </c>
      <c r="D15" s="95">
        <v>0</v>
      </c>
      <c r="E15" s="94"/>
      <c r="F15" s="94"/>
      <c r="G15" s="94"/>
      <c r="H15" s="94"/>
      <c r="I15" s="95"/>
      <c r="J15" s="101" t="s">
        <v>177</v>
      </c>
      <c r="K15" s="101"/>
      <c r="L15" s="101"/>
      <c r="M15" s="101"/>
      <c r="N15" s="102">
        <v>0</v>
      </c>
      <c r="O15" s="102"/>
      <c r="P15" s="97"/>
      <c r="Q15" s="42"/>
      <c r="AJ15" s="84"/>
      <c r="AN15" s="38">
        <v>13</v>
      </c>
      <c r="AO15" s="38" t="s">
        <v>178</v>
      </c>
      <c r="AP15" s="38">
        <f aca="true" t="shared" si="0" ref="AP15:AP16">IF(AND(AN15&gt;$AG$8),$AH$8,IF(AND(AN15&gt;$AG$7),$AH$7,IF(AND(AN15&gt;=$AG$6),$AH$6,$AG$4)))</f>
        <v>58330</v>
      </c>
      <c r="AQ15" s="38">
        <f aca="true" t="shared" si="1" ref="AQ15:AQ16">IF(AND(AN15&gt;$AG$7),$AI$7,IF(AND(AN15&gt;$AG$8),$AI$8,IF(AND(AN15&gt;=$AG$6),$AI$6,$AG$4)))</f>
        <v>58330</v>
      </c>
      <c r="AR15" s="38">
        <f aca="true" t="shared" si="2" ref="AR15:AR16">IF(AND(AN15&gt;$AG$8),$AJ$8,IF(AND(AN15&gt;=$AG$6),$AJ$6,IF(AND(AN15&gt;$AG$7),$AJ$7,$AG$4)))</f>
        <v>59890</v>
      </c>
      <c r="AS15" s="38">
        <f aca="true" t="shared" si="3" ref="AS15:AS16">IF(AND(AN15&gt;=$AG$6),$AK$6,IF(AND(AN15&gt;$AG$8),$AK$8,IF(AND(AN15&gt;$AG$7),$AK$7,$AG$4)))</f>
        <v>61450</v>
      </c>
      <c r="AT15" s="38">
        <f aca="true" t="shared" si="4" ref="AT15:AT16">IF(AND(AN15&gt;$AG$7),$AL$7,IF(AND(AN15&gt;=$AG$6),$AL$6,IF(AND($AN$15&gt;$AG$8),$AL$8,$AG$4)))</f>
        <v>61450</v>
      </c>
      <c r="AZ15" s="38">
        <v>1</v>
      </c>
      <c r="BA15" s="38">
        <f>VLOOKUP(AZ15,AZ4:BA12,2,)</f>
        <v>0</v>
      </c>
    </row>
    <row r="16" spans="1:46" ht="54.75" customHeight="1">
      <c r="A16" s="44"/>
      <c r="B16" s="103" t="s">
        <v>179</v>
      </c>
      <c r="C16" s="103"/>
      <c r="D16" s="103"/>
      <c r="E16" s="103"/>
      <c r="F16" s="103"/>
      <c r="G16" s="103"/>
      <c r="H16" s="103"/>
      <c r="I16" s="103"/>
      <c r="J16" s="103"/>
      <c r="K16" s="103"/>
      <c r="L16" s="103"/>
      <c r="M16" s="103"/>
      <c r="N16" s="103"/>
      <c r="O16" s="103"/>
      <c r="P16" s="103"/>
      <c r="Q16" s="42"/>
      <c r="AJ16" s="84"/>
      <c r="AN16" s="38">
        <v>14</v>
      </c>
      <c r="AO16" s="38" t="s">
        <v>180</v>
      </c>
      <c r="AP16" s="38">
        <f t="shared" si="0"/>
        <v>58330</v>
      </c>
      <c r="AQ16" s="38">
        <f t="shared" si="1"/>
        <v>58330</v>
      </c>
      <c r="AR16" s="38">
        <f t="shared" si="2"/>
        <v>59890</v>
      </c>
      <c r="AS16" s="38">
        <f t="shared" si="3"/>
        <v>61450</v>
      </c>
      <c r="AT16" s="38">
        <f t="shared" si="4"/>
        <v>61450</v>
      </c>
    </row>
    <row r="17" spans="1:53" ht="25.5" customHeight="1">
      <c r="A17" s="44"/>
      <c r="B17" s="104" t="s">
        <v>181</v>
      </c>
      <c r="C17" s="105"/>
      <c r="D17" s="105"/>
      <c r="E17" s="106" t="s">
        <v>182</v>
      </c>
      <c r="F17" s="107" t="s">
        <v>183</v>
      </c>
      <c r="G17" s="107"/>
      <c r="H17" s="107"/>
      <c r="I17" s="107"/>
      <c r="J17" s="108" t="s">
        <v>184</v>
      </c>
      <c r="K17" s="108"/>
      <c r="L17" s="109"/>
      <c r="M17" s="109"/>
      <c r="N17" s="109"/>
      <c r="O17" s="109"/>
      <c r="P17" s="109"/>
      <c r="Q17" s="42"/>
      <c r="AA17" s="38">
        <v>9</v>
      </c>
      <c r="AB17" s="38" t="s">
        <v>185</v>
      </c>
      <c r="AC17" s="38">
        <f>IF(Z3=1,"(Social)","")</f>
        <v>0</v>
      </c>
      <c r="AF17" s="38">
        <f>IF(T111=2,VLOOKUP(AK7,AE93:AG172,2,0),VLOOKUP(AK7,AE93:AG172,3,0))</f>
        <v>59890</v>
      </c>
      <c r="AJ17" s="84"/>
      <c r="AN17" s="37"/>
      <c r="AO17" s="37"/>
      <c r="AP17" s="37"/>
      <c r="AQ17" s="37"/>
      <c r="AR17" s="37"/>
      <c r="AS17" s="37"/>
      <c r="AT17" s="37"/>
      <c r="AU17" s="37"/>
      <c r="AZ17" s="38">
        <v>2</v>
      </c>
      <c r="BA17" s="38">
        <f>VLOOKUP(AZ17,AZ4:BA12,2,)</f>
        <v>0</v>
      </c>
    </row>
    <row r="18" spans="1:53" ht="25.5" customHeight="1">
      <c r="A18" s="44"/>
      <c r="B18" s="58" t="s">
        <v>186</v>
      </c>
      <c r="C18" s="86">
        <v>10000</v>
      </c>
      <c r="D18" s="86"/>
      <c r="E18" s="59" t="s">
        <v>187</v>
      </c>
      <c r="F18" s="59"/>
      <c r="G18" s="59"/>
      <c r="H18" s="59"/>
      <c r="I18" s="59"/>
      <c r="J18" s="64"/>
      <c r="K18" s="110"/>
      <c r="L18" s="111" t="s">
        <v>188</v>
      </c>
      <c r="M18" s="111"/>
      <c r="N18" s="111"/>
      <c r="O18" s="86">
        <v>3000</v>
      </c>
      <c r="P18" s="86"/>
      <c r="Q18" s="42"/>
      <c r="AA18" s="38">
        <v>10</v>
      </c>
      <c r="AC18" s="38">
        <f>IF(Z3=1,"(Phy.Edn)","")</f>
        <v>0</v>
      </c>
      <c r="AF18" s="38">
        <f>IF(T111=2,VLOOKUP(AG4,AE93:AG172,2,0),VLOOKUP(AG4,AE93:AG172,3,0))</f>
        <v>58330</v>
      </c>
      <c r="AJ18" s="84"/>
      <c r="AN18" s="37"/>
      <c r="AO18" s="37"/>
      <c r="AP18" s="37"/>
      <c r="AQ18" s="37"/>
      <c r="AR18" s="37"/>
      <c r="AS18" s="37"/>
      <c r="AT18" s="37"/>
      <c r="AZ18" s="38">
        <v>4</v>
      </c>
      <c r="BA18" s="38">
        <f>VLOOKUP(AZ18,AZ4:BA12,2,)</f>
        <v>0</v>
      </c>
    </row>
    <row r="19" spans="1:53" ht="25.5" customHeight="1">
      <c r="A19" s="44"/>
      <c r="B19" s="58" t="s">
        <v>189</v>
      </c>
      <c r="C19" s="112"/>
      <c r="D19" s="112"/>
      <c r="E19" s="113" t="s">
        <v>190</v>
      </c>
      <c r="F19" s="113"/>
      <c r="G19" s="57">
        <v>1000</v>
      </c>
      <c r="H19" s="114" t="s">
        <v>191</v>
      </c>
      <c r="I19" s="114"/>
      <c r="J19" s="114"/>
      <c r="K19" s="114"/>
      <c r="L19" s="73"/>
      <c r="M19" s="87"/>
      <c r="N19" s="113" t="s">
        <v>192</v>
      </c>
      <c r="O19" s="113"/>
      <c r="P19" s="115">
        <v>1400</v>
      </c>
      <c r="Q19" s="42"/>
      <c r="AA19" s="38">
        <v>11</v>
      </c>
      <c r="AJ19" s="84"/>
      <c r="AZ19" s="38">
        <v>5</v>
      </c>
      <c r="BA19" s="38">
        <f>VLOOKUP(AZ19,AZ4:BA12,2,)</f>
        <v>0</v>
      </c>
    </row>
    <row r="20" spans="1:53" ht="25.5" customHeight="1">
      <c r="A20" s="44"/>
      <c r="B20" s="52" t="s">
        <v>193</v>
      </c>
      <c r="C20" s="52"/>
      <c r="D20" s="52"/>
      <c r="E20" s="116">
        <v>0</v>
      </c>
      <c r="F20" s="58" t="s">
        <v>194</v>
      </c>
      <c r="G20" s="87"/>
      <c r="H20" s="59" t="s">
        <v>195</v>
      </c>
      <c r="I20" s="59"/>
      <c r="J20" s="73"/>
      <c r="K20" s="87"/>
      <c r="L20" s="117">
        <f>P81</f>
        <v>0</v>
      </c>
      <c r="M20" s="117"/>
      <c r="N20" s="117"/>
      <c r="O20" s="117"/>
      <c r="P20" s="118">
        <v>8300</v>
      </c>
      <c r="Q20" s="42"/>
      <c r="S20" s="38">
        <f>P20*12</f>
        <v>99600</v>
      </c>
      <c r="AA20" s="38">
        <v>12</v>
      </c>
      <c r="AD20" s="119"/>
      <c r="AE20" s="120"/>
      <c r="AZ20" s="38">
        <v>8</v>
      </c>
      <c r="BA20" s="38">
        <f>VLOOKUP(AZ20,AZ4:BA12,2,)</f>
        <v>0</v>
      </c>
    </row>
    <row r="21" spans="1:53" ht="28.5" customHeight="1">
      <c r="A21" s="44"/>
      <c r="B21" s="121" t="s">
        <v>196</v>
      </c>
      <c r="C21" s="121"/>
      <c r="D21" s="121"/>
      <c r="E21" s="122" t="s">
        <v>197</v>
      </c>
      <c r="F21" s="122"/>
      <c r="G21" s="123" t="s">
        <v>198</v>
      </c>
      <c r="H21" s="123"/>
      <c r="I21" s="123"/>
      <c r="J21" s="123"/>
      <c r="K21" s="123"/>
      <c r="L21" s="123"/>
      <c r="M21" s="124" t="s">
        <v>197</v>
      </c>
      <c r="N21" s="125" t="s">
        <v>199</v>
      </c>
      <c r="O21" s="125"/>
      <c r="P21" s="125"/>
      <c r="Q21" s="42"/>
      <c r="AD21" s="126"/>
      <c r="AE21" s="127"/>
      <c r="AZ21" s="38">
        <v>6</v>
      </c>
      <c r="BA21" s="38">
        <f>VLOOKUP(AZ21,AZ4:BA12,2,)</f>
        <v>0</v>
      </c>
    </row>
    <row r="22" spans="1:53" ht="25.5" customHeight="1">
      <c r="A22" s="44"/>
      <c r="B22" s="128" t="s">
        <v>200</v>
      </c>
      <c r="C22" s="128"/>
      <c r="D22" s="128"/>
      <c r="E22" s="86">
        <v>70000</v>
      </c>
      <c r="F22" s="86"/>
      <c r="G22" s="129" t="s">
        <v>201</v>
      </c>
      <c r="H22" s="129"/>
      <c r="I22" s="129"/>
      <c r="J22" s="129"/>
      <c r="K22" s="129"/>
      <c r="L22" s="130" t="s">
        <v>200</v>
      </c>
      <c r="M22" s="57">
        <v>0</v>
      </c>
      <c r="N22" s="131" t="s">
        <v>202</v>
      </c>
      <c r="O22" s="132" t="s">
        <v>203</v>
      </c>
      <c r="P22" s="132"/>
      <c r="Q22" s="42"/>
      <c r="AA22" s="38">
        <v>13</v>
      </c>
      <c r="AD22" s="126">
        <v>3</v>
      </c>
      <c r="AE22" s="127">
        <f>VLOOKUP(AD22,AD23:AE26,2,90)</f>
        <v>60</v>
      </c>
      <c r="AZ22" s="38">
        <v>3</v>
      </c>
      <c r="BA22" s="38">
        <f>VLOOKUP(AZ22,AZ4:BA14,2,)</f>
        <v>0</v>
      </c>
    </row>
    <row r="23" spans="1:31" ht="24.75" customHeight="1">
      <c r="A23" s="44"/>
      <c r="B23" s="128" t="s">
        <v>200</v>
      </c>
      <c r="C23" s="128"/>
      <c r="D23" s="128"/>
      <c r="E23" s="86">
        <v>0</v>
      </c>
      <c r="F23" s="86"/>
      <c r="G23" s="129" t="s">
        <v>204</v>
      </c>
      <c r="H23" s="129"/>
      <c r="I23" s="129"/>
      <c r="J23" s="129"/>
      <c r="K23" s="129"/>
      <c r="L23" s="130" t="s">
        <v>200</v>
      </c>
      <c r="M23" s="57">
        <v>0</v>
      </c>
      <c r="N23" s="131"/>
      <c r="O23" s="133" t="s">
        <v>205</v>
      </c>
      <c r="P23" s="134">
        <v>0</v>
      </c>
      <c r="Q23" s="42"/>
      <c r="AD23" s="126">
        <v>1</v>
      </c>
      <c r="AE23" s="127">
        <v>15</v>
      </c>
    </row>
    <row r="24" spans="1:31" ht="24.75" customHeight="1">
      <c r="A24" s="44"/>
      <c r="B24" s="128" t="s">
        <v>200</v>
      </c>
      <c r="C24" s="128"/>
      <c r="D24" s="128"/>
      <c r="E24" s="86">
        <v>0</v>
      </c>
      <c r="F24" s="86"/>
      <c r="G24" s="135" t="s">
        <v>206</v>
      </c>
      <c r="H24" s="135"/>
      <c r="I24" s="135"/>
      <c r="J24" s="135"/>
      <c r="K24" s="135"/>
      <c r="L24" s="130" t="s">
        <v>200</v>
      </c>
      <c r="M24" s="136">
        <f>T74</f>
        <v>0</v>
      </c>
      <c r="N24" s="131"/>
      <c r="O24" s="58" t="s">
        <v>207</v>
      </c>
      <c r="P24" s="134">
        <v>0</v>
      </c>
      <c r="Q24" s="42"/>
      <c r="AD24" s="126">
        <v>2</v>
      </c>
      <c r="AE24" s="127">
        <v>30</v>
      </c>
    </row>
    <row r="25" spans="1:54" ht="24.75" customHeight="1">
      <c r="A25" s="44"/>
      <c r="B25" s="128" t="s">
        <v>200</v>
      </c>
      <c r="C25" s="128"/>
      <c r="D25" s="128"/>
      <c r="E25" s="86">
        <v>0</v>
      </c>
      <c r="F25" s="86"/>
      <c r="G25" s="137"/>
      <c r="H25" s="137"/>
      <c r="I25" s="137"/>
      <c r="J25" s="137"/>
      <c r="K25" s="137"/>
      <c r="L25" s="130" t="s">
        <v>200</v>
      </c>
      <c r="M25" s="136">
        <f>R75</f>
        <v>0</v>
      </c>
      <c r="N25" s="131"/>
      <c r="O25" s="58" t="s">
        <v>208</v>
      </c>
      <c r="P25" s="134">
        <v>0</v>
      </c>
      <c r="Q25" s="42"/>
      <c r="AA25" s="38">
        <v>1</v>
      </c>
      <c r="AB25" s="38">
        <f>VLOOKUP(AA25,AA26:AB30,2,0)</f>
        <v>0</v>
      </c>
      <c r="AD25" s="126">
        <v>3</v>
      </c>
      <c r="AE25" s="127">
        <v>60</v>
      </c>
      <c r="AN25" s="138"/>
      <c r="AO25" s="138"/>
      <c r="AP25" s="138"/>
      <c r="AQ25" s="138"/>
      <c r="AR25" s="138"/>
      <c r="AS25" s="138"/>
      <c r="AT25" s="138"/>
      <c r="AZ25" s="138"/>
      <c r="BA25" s="138"/>
      <c r="BB25" s="138"/>
    </row>
    <row r="26" spans="1:31" ht="26.25" customHeight="1">
      <c r="A26" s="44"/>
      <c r="B26" s="128" t="s">
        <v>200</v>
      </c>
      <c r="C26" s="128"/>
      <c r="D26" s="128"/>
      <c r="E26" s="86">
        <v>0</v>
      </c>
      <c r="F26" s="86"/>
      <c r="G26" s="49" t="s">
        <v>209</v>
      </c>
      <c r="H26" s="49"/>
      <c r="I26" s="49"/>
      <c r="J26" s="49"/>
      <c r="K26" s="49"/>
      <c r="L26" s="130" t="s">
        <v>200</v>
      </c>
      <c r="M26" s="57">
        <v>0</v>
      </c>
      <c r="N26" s="131"/>
      <c r="O26" s="58" t="s">
        <v>210</v>
      </c>
      <c r="P26" s="134">
        <v>0</v>
      </c>
      <c r="Q26" s="42"/>
      <c r="AA26" s="38">
        <v>1</v>
      </c>
      <c r="AB26" s="38" t="s">
        <v>211</v>
      </c>
      <c r="AD26" s="139">
        <v>4</v>
      </c>
      <c r="AE26" s="140">
        <v>120</v>
      </c>
    </row>
    <row r="27" spans="1:31" ht="24.75" customHeight="1">
      <c r="A27" s="44"/>
      <c r="B27" s="52" t="s">
        <v>212</v>
      </c>
      <c r="C27" s="52"/>
      <c r="D27" s="52"/>
      <c r="E27" s="86">
        <v>0</v>
      </c>
      <c r="F27" s="86"/>
      <c r="G27" s="49" t="s">
        <v>213</v>
      </c>
      <c r="H27" s="49"/>
      <c r="I27" s="49"/>
      <c r="J27" s="49"/>
      <c r="K27" s="49"/>
      <c r="L27" s="130" t="s">
        <v>200</v>
      </c>
      <c r="M27" s="57">
        <v>0</v>
      </c>
      <c r="N27" s="131"/>
      <c r="O27" s="58" t="s">
        <v>214</v>
      </c>
      <c r="P27" s="134">
        <v>0</v>
      </c>
      <c r="Q27" s="42"/>
      <c r="AA27" s="38">
        <v>2</v>
      </c>
      <c r="AB27" s="38" t="s">
        <v>215</v>
      </c>
      <c r="AD27" s="141"/>
      <c r="AE27" s="141"/>
    </row>
    <row r="28" spans="1:31" ht="24.75" customHeight="1">
      <c r="A28" s="44"/>
      <c r="B28" s="128" t="s">
        <v>200</v>
      </c>
      <c r="C28" s="128"/>
      <c r="D28" s="128"/>
      <c r="E28" s="86">
        <v>0</v>
      </c>
      <c r="F28" s="86"/>
      <c r="G28" s="49" t="s">
        <v>216</v>
      </c>
      <c r="H28" s="49"/>
      <c r="I28" s="49"/>
      <c r="J28" s="49"/>
      <c r="K28" s="49"/>
      <c r="L28" s="130" t="s">
        <v>200</v>
      </c>
      <c r="M28" s="57">
        <v>0</v>
      </c>
      <c r="N28" s="131"/>
      <c r="O28" s="133" t="s">
        <v>217</v>
      </c>
      <c r="P28" s="134">
        <v>0</v>
      </c>
      <c r="Q28" s="42"/>
      <c r="AA28" s="38">
        <v>3</v>
      </c>
      <c r="AB28" s="38" t="s">
        <v>218</v>
      </c>
      <c r="AD28" s="141"/>
      <c r="AE28" s="141"/>
    </row>
    <row r="29" spans="1:43" ht="24.75" customHeight="1">
      <c r="A29" s="44"/>
      <c r="B29" s="142"/>
      <c r="C29" s="142"/>
      <c r="D29" s="143" t="s">
        <v>127</v>
      </c>
      <c r="E29" s="86">
        <v>0</v>
      </c>
      <c r="F29" s="86"/>
      <c r="G29" s="49" t="s">
        <v>219</v>
      </c>
      <c r="H29" s="49"/>
      <c r="I29" s="49"/>
      <c r="J29" s="49"/>
      <c r="K29" s="49"/>
      <c r="L29" s="130" t="s">
        <v>200</v>
      </c>
      <c r="M29" s="57">
        <v>0</v>
      </c>
      <c r="N29" s="131"/>
      <c r="O29" s="58" t="s">
        <v>220</v>
      </c>
      <c r="P29" s="134">
        <v>0</v>
      </c>
      <c r="Q29" s="42"/>
      <c r="AN29" s="38">
        <v>2</v>
      </c>
      <c r="AO29" s="38" t="s">
        <v>221</v>
      </c>
      <c r="AP29" s="38">
        <f>IF(AND(AH9=1),VLOOKUP(AN29,AN4:AT15,3,0),IF(AND(AH9=2),VLOOKUP(AN29,AN4:AT15,4,0),IF(AND(AH9=3),VLOOKUP(AN29,AN4:AT15,5,0),IF(AND(AH9=4),VLOOKUP(AN29,AN4:AT15,6,0),IF(AND(AH9=5),VLOOKUP(AN29,AN4:AT15,7,0))))))</f>
        <v>56870</v>
      </c>
      <c r="AQ29" s="38">
        <v>8.908</v>
      </c>
    </row>
    <row r="30" spans="1:17" ht="28.5" customHeight="1">
      <c r="A30" s="44"/>
      <c r="B30" s="144" t="s">
        <v>222</v>
      </c>
      <c r="C30" s="144"/>
      <c r="D30" s="144"/>
      <c r="E30" s="144"/>
      <c r="F30" s="144"/>
      <c r="G30" s="49" t="s">
        <v>223</v>
      </c>
      <c r="H30" s="49"/>
      <c r="I30" s="49"/>
      <c r="J30" s="49"/>
      <c r="K30" s="49"/>
      <c r="L30" s="130" t="s">
        <v>200</v>
      </c>
      <c r="M30" s="57">
        <v>0</v>
      </c>
      <c r="N30" s="131"/>
      <c r="O30" s="58" t="s">
        <v>224</v>
      </c>
      <c r="P30" s="134">
        <v>0</v>
      </c>
      <c r="Q30" s="42"/>
    </row>
    <row r="31" spans="1:256" s="138" customFormat="1" ht="28.5" customHeight="1">
      <c r="A31" s="145"/>
      <c r="B31" s="144"/>
      <c r="C31" s="144"/>
      <c r="D31" s="144"/>
      <c r="E31" s="144"/>
      <c r="F31" s="144"/>
      <c r="G31" s="146" t="s">
        <v>225</v>
      </c>
      <c r="H31" s="146"/>
      <c r="I31" s="147"/>
      <c r="J31" s="148"/>
      <c r="K31" s="149" t="s">
        <v>226</v>
      </c>
      <c r="L31" s="150"/>
      <c r="M31" s="150"/>
      <c r="N31" s="131"/>
      <c r="O31" s="58" t="s">
        <v>227</v>
      </c>
      <c r="P31" s="134">
        <v>0</v>
      </c>
      <c r="Q31" s="151"/>
      <c r="AA31" s="152"/>
      <c r="AB31" s="152"/>
      <c r="AE31" s="153"/>
      <c r="AF31" s="141"/>
      <c r="AG31" s="153"/>
      <c r="AH31" s="153"/>
      <c r="AI31" s="153"/>
      <c r="AJ31" s="153"/>
      <c r="AK31" s="153"/>
      <c r="AL31" s="153"/>
      <c r="AN31" s="38">
        <v>3</v>
      </c>
      <c r="AO31" s="38" t="s">
        <v>228</v>
      </c>
      <c r="AP31" s="38">
        <f>IF(AND(AH9=1),VLOOKUP(AN31,AN4:AT15,3,0),IF(AND(AH9=2),VLOOKUP(AN31,AN4:AT15,4,0),IF(AND(AH9=3),VLOOKUP(AN31,AN4:AT15,5,0),IF(AND(AH9=4),VLOOKUP(AN31,AN4:AT15,6,0),IF(AND(AH9=5),VLOOKUP(AN31,AN4:AT15,7,0))))))</f>
        <v>56870</v>
      </c>
      <c r="AQ31" s="38">
        <v>8.908</v>
      </c>
      <c r="AR31" s="38"/>
      <c r="AS31" s="38"/>
      <c r="AT31" s="38"/>
      <c r="AZ31" s="38"/>
      <c r="BA31" s="38"/>
      <c r="BB31" s="38"/>
      <c r="GM31" s="152"/>
      <c r="GN31" s="152"/>
      <c r="GO31" s="152"/>
      <c r="GP31" s="152"/>
      <c r="GQ31" s="152"/>
      <c r="GR31" s="152"/>
      <c r="GS31" s="152"/>
      <c r="GT31" s="152"/>
      <c r="GU31" s="152"/>
      <c r="GV31" s="152"/>
      <c r="GW31" s="152"/>
      <c r="GX31" s="152"/>
      <c r="GY31" s="152"/>
      <c r="GZ31" s="152"/>
      <c r="HA31" s="152"/>
      <c r="HB31" s="152"/>
      <c r="HC31" s="152"/>
      <c r="HD31" s="152"/>
      <c r="HE31" s="152"/>
      <c r="HF31" s="152"/>
      <c r="HG31" s="152"/>
      <c r="HH31" s="152"/>
      <c r="HI31" s="152"/>
      <c r="HJ31" s="152"/>
      <c r="HK31" s="152"/>
      <c r="HL31" s="152"/>
      <c r="HM31" s="152"/>
      <c r="HN31" s="152"/>
      <c r="HO31" s="152"/>
      <c r="HP31" s="152"/>
      <c r="HQ31" s="152"/>
      <c r="HR31" s="152"/>
      <c r="HS31" s="152"/>
      <c r="HT31" s="152"/>
      <c r="HU31" s="152"/>
      <c r="HV31" s="152"/>
      <c r="HW31" s="152"/>
      <c r="HX31" s="152"/>
      <c r="HY31" s="152"/>
      <c r="HZ31" s="152"/>
      <c r="IA31" s="152"/>
      <c r="IB31" s="152"/>
      <c r="IC31" s="152"/>
      <c r="ID31" s="152"/>
      <c r="IE31" s="152"/>
      <c r="IF31" s="152"/>
      <c r="IG31" s="152"/>
      <c r="IH31" s="152"/>
      <c r="II31" s="152"/>
      <c r="IJ31" s="152"/>
      <c r="IK31" s="152"/>
      <c r="IL31" s="152"/>
      <c r="IM31" s="152"/>
      <c r="IN31" s="152"/>
      <c r="IO31" s="152"/>
      <c r="IP31" s="152"/>
      <c r="IQ31" s="152"/>
      <c r="IR31" s="152"/>
      <c r="IS31" s="152"/>
      <c r="IT31" s="152"/>
      <c r="IU31" s="152"/>
      <c r="IV31" s="152"/>
    </row>
    <row r="32" spans="1:43" ht="28.5" customHeight="1">
      <c r="A32" s="154"/>
      <c r="B32" s="155" t="s">
        <v>229</v>
      </c>
      <c r="C32" s="155"/>
      <c r="D32" s="155"/>
      <c r="E32" s="155"/>
      <c r="F32" s="155"/>
      <c r="G32" s="146"/>
      <c r="H32" s="146"/>
      <c r="I32" s="156"/>
      <c r="J32" s="157"/>
      <c r="K32" s="158" t="s">
        <v>230</v>
      </c>
      <c r="L32" s="159"/>
      <c r="M32" s="159"/>
      <c r="N32" s="131"/>
      <c r="O32" s="58" t="s">
        <v>231</v>
      </c>
      <c r="P32" s="134">
        <v>0</v>
      </c>
      <c r="Q32" s="42"/>
      <c r="AE32" s="141"/>
      <c r="AF32" s="141"/>
      <c r="AG32" s="141"/>
      <c r="AH32" s="141"/>
      <c r="AI32" s="141"/>
      <c r="AJ32" s="141"/>
      <c r="AK32" s="141"/>
      <c r="AL32" s="141"/>
      <c r="AN32" s="38">
        <v>4</v>
      </c>
      <c r="AO32" s="38" t="s">
        <v>208</v>
      </c>
      <c r="AP32" s="38">
        <f>IF(AND(AH9=1),VLOOKUP(AN32,AN4:AT15,3,0),IF(AND(AH9=2),VLOOKUP(AN32,AN4:AT15,4,0),IF(AND(AH9=3),VLOOKUP(AN32,AN4:AT15,5,0),IF(AND(AH9=4),VLOOKUP(AN32,AN4:AT15,6,0),IF(AND(AH9=5),VLOOKUP(AN32,AN4:AT15,7,0))))))</f>
        <v>56870</v>
      </c>
      <c r="AQ32" s="38">
        <v>8.908</v>
      </c>
    </row>
    <row r="33" spans="1:43" ht="28.5" customHeight="1">
      <c r="A33" s="160"/>
      <c r="B33" s="58" t="s">
        <v>232</v>
      </c>
      <c r="C33" s="161"/>
      <c r="D33" s="161"/>
      <c r="E33" s="161"/>
      <c r="F33" s="161"/>
      <c r="G33" s="146"/>
      <c r="H33" s="146"/>
      <c r="I33" s="156"/>
      <c r="J33" s="157"/>
      <c r="K33" s="162" t="s">
        <v>233</v>
      </c>
      <c r="L33" s="162"/>
      <c r="M33" s="162"/>
      <c r="N33" s="131"/>
      <c r="O33" s="163" t="s">
        <v>234</v>
      </c>
      <c r="P33" s="118">
        <v>0</v>
      </c>
      <c r="Q33" s="42"/>
      <c r="AE33" s="141"/>
      <c r="AF33" s="141"/>
      <c r="AG33" s="164"/>
      <c r="AH33" s="165"/>
      <c r="AI33" s="166"/>
      <c r="AJ33" s="166"/>
      <c r="AK33" s="167"/>
      <c r="AL33" s="167"/>
      <c r="AN33" s="38">
        <v>5</v>
      </c>
      <c r="AO33" s="38" t="s">
        <v>235</v>
      </c>
      <c r="AP33" s="38">
        <f>IF(AND(AH9=1),VLOOKUP(AN33,AN4:AT15,3,0),IF(AND(AH9=2),VLOOKUP(AN33,AN4:AT15,4,0),IF(AND(AH9=3),VLOOKUP(AN33,AN4:AT15,5,0),IF(AND(AH9=4),VLOOKUP(AN33,AN4:AT15,6,0),IF(AND(AH9=5),VLOOKUP(AN33,AN4:AT15,7,0))))))</f>
        <v>56870</v>
      </c>
      <c r="AQ33" s="38">
        <v>8.908</v>
      </c>
    </row>
    <row r="34" spans="1:43" ht="28.5" customHeight="1">
      <c r="A34" s="160"/>
      <c r="B34" s="58" t="s">
        <v>236</v>
      </c>
      <c r="C34" s="161"/>
      <c r="D34" s="161"/>
      <c r="E34" s="161"/>
      <c r="F34" s="161"/>
      <c r="G34" s="146"/>
      <c r="H34" s="146"/>
      <c r="I34" s="168"/>
      <c r="J34" s="169"/>
      <c r="K34" s="170" t="s">
        <v>237</v>
      </c>
      <c r="L34" s="171"/>
      <c r="M34" s="171"/>
      <c r="N34" s="131"/>
      <c r="O34" s="163" t="s">
        <v>238</v>
      </c>
      <c r="P34" s="118">
        <v>0</v>
      </c>
      <c r="Q34" s="42"/>
      <c r="AA34" s="38">
        <v>3</v>
      </c>
      <c r="AB34" s="38">
        <f>VLOOKUP(AA34,AA35:AB37,2,0)</f>
        <v>0</v>
      </c>
      <c r="AD34" s="38">
        <f>IF(AA34=3,CONCATENATE("CPS employee contribution amount  U/s 80CCD(1) (",F17,")"),CONCATENATE(AB34," A/c No. (",F17,")"))</f>
        <v>0</v>
      </c>
      <c r="AE34" s="141"/>
      <c r="AF34" s="141"/>
      <c r="AG34" s="164"/>
      <c r="AH34" s="165"/>
      <c r="AI34" s="166"/>
      <c r="AJ34" s="166"/>
      <c r="AK34" s="167"/>
      <c r="AL34" s="167"/>
      <c r="AN34" s="38">
        <v>6</v>
      </c>
      <c r="AO34" s="38" t="s">
        <v>239</v>
      </c>
      <c r="AP34" s="38">
        <f>IF(AND(AH9=1),VLOOKUP(AN34,AN4:AT15,3,0),IF(AND(AH9=2),VLOOKUP(AN34,AN4:AT15,4,0),IF(AND(AH9=3),VLOOKUP(AN34,AN4:AT15,5,0),IF(AND(AH9=4),VLOOKUP(AN34,AN4:AT15,6,0),IF(AND(AH9=5),VLOOKUP(AN34,AN4:AT15,7,0))))))</f>
        <v>56870</v>
      </c>
      <c r="AQ34" s="38">
        <v>8.908</v>
      </c>
    </row>
    <row r="35" spans="1:43" ht="28.5" customHeight="1">
      <c r="A35" s="160"/>
      <c r="B35" s="58" t="s">
        <v>240</v>
      </c>
      <c r="C35" s="48"/>
      <c r="D35" s="48"/>
      <c r="E35" s="48"/>
      <c r="F35" s="48"/>
      <c r="G35" s="59" t="s">
        <v>241</v>
      </c>
      <c r="H35" s="59"/>
      <c r="I35" s="172"/>
      <c r="J35" s="172"/>
      <c r="K35" s="172"/>
      <c r="L35" s="172"/>
      <c r="M35" s="172"/>
      <c r="N35" s="131"/>
      <c r="O35" s="163" t="s">
        <v>234</v>
      </c>
      <c r="P35" s="118">
        <v>0</v>
      </c>
      <c r="Q35" s="42"/>
      <c r="AA35" s="173">
        <v>1</v>
      </c>
      <c r="AB35" s="38" t="s">
        <v>242</v>
      </c>
      <c r="AE35" s="141"/>
      <c r="AF35" s="141"/>
      <c r="AG35" s="164"/>
      <c r="AH35" s="165"/>
      <c r="AI35" s="166"/>
      <c r="AJ35" s="166"/>
      <c r="AK35" s="167"/>
      <c r="AL35" s="167"/>
      <c r="AN35" s="38">
        <v>7</v>
      </c>
      <c r="AO35" s="38" t="s">
        <v>217</v>
      </c>
      <c r="AP35" s="38">
        <f>IF(AND(AH9=1),VLOOKUP(AN35,AN4:AT15,3,0),IF(AND(AH9=2),VLOOKUP(AN35,AN4:AT15,4,0),IF(AND(AH9=3),VLOOKUP(AN35,AN4:AT15,5,0),IF(AND(AH9=4),VLOOKUP(AN35,AN4:AT15,6,0),IF(AND(AH9=5),VLOOKUP(AN35,AN4:AT15,7,0))))))</f>
        <v>56870</v>
      </c>
      <c r="AQ35" s="38">
        <v>8.908</v>
      </c>
    </row>
    <row r="36" spans="1:43" ht="35.25" customHeight="1">
      <c r="A36" s="160"/>
      <c r="B36" s="174" t="s">
        <v>243</v>
      </c>
      <c r="C36" s="174"/>
      <c r="D36" s="174"/>
      <c r="E36" s="174"/>
      <c r="F36" s="174"/>
      <c r="G36" s="174"/>
      <c r="H36" s="174"/>
      <c r="I36" s="174"/>
      <c r="J36" s="174"/>
      <c r="K36" s="174"/>
      <c r="L36" s="174"/>
      <c r="M36" s="174"/>
      <c r="N36" s="174"/>
      <c r="O36" s="174"/>
      <c r="P36" s="174"/>
      <c r="Q36" s="42"/>
      <c r="AA36" s="175">
        <v>2</v>
      </c>
      <c r="AB36" s="138" t="s">
        <v>244</v>
      </c>
      <c r="AE36" s="141"/>
      <c r="AF36" s="153"/>
      <c r="AG36" s="141"/>
      <c r="AH36" s="141"/>
      <c r="AI36" s="141"/>
      <c r="AJ36" s="141"/>
      <c r="AK36" s="141"/>
      <c r="AL36" s="141"/>
      <c r="AN36" s="38">
        <v>8</v>
      </c>
      <c r="AO36" s="38" t="s">
        <v>245</v>
      </c>
      <c r="AP36" s="38">
        <f>IF(AND(AH9=1),VLOOKUP(AN36,AN4:AT15,3,0),IF(AND(AH9=2),VLOOKUP(AN36,AN4:AT15,4,0),IF(AND(AH9=3),VLOOKUP(AN36,AN4:AT15,5,0),IF(AND(AH9=4),VLOOKUP(AN36,AN4:AT15,6,0),IF(AND(AH9=5),VLOOKUP(AN36,AN4:AT15,7,0))))))</f>
        <v>56870</v>
      </c>
      <c r="AQ36" s="38">
        <v>12.052</v>
      </c>
    </row>
    <row r="37" spans="1:43" s="38" customFormat="1" ht="30.75" customHeight="1">
      <c r="A37" s="176"/>
      <c r="B37" s="176"/>
      <c r="C37" s="176"/>
      <c r="D37" s="176"/>
      <c r="E37" s="176"/>
      <c r="F37" s="176"/>
      <c r="G37" s="176"/>
      <c r="H37" s="176"/>
      <c r="I37" s="176"/>
      <c r="J37" s="176"/>
      <c r="K37" s="176"/>
      <c r="L37" s="176"/>
      <c r="M37" s="176"/>
      <c r="N37" s="176"/>
      <c r="O37" s="176"/>
      <c r="P37" s="176"/>
      <c r="Q37" s="176"/>
      <c r="AA37" s="173">
        <v>3</v>
      </c>
      <c r="AB37" s="38" t="s">
        <v>246</v>
      </c>
      <c r="AE37" s="141"/>
      <c r="AF37" s="141"/>
      <c r="AG37" s="164"/>
      <c r="AH37" s="165"/>
      <c r="AI37" s="166"/>
      <c r="AJ37" s="166"/>
      <c r="AK37" s="167"/>
      <c r="AL37" s="167"/>
      <c r="AN37" s="38">
        <v>9</v>
      </c>
      <c r="AO37" s="38" t="s">
        <v>224</v>
      </c>
      <c r="AP37" s="38">
        <f>IF(AND(AH9=1),VLOOKUP(AN37,AN4:AT15,3,0),IF(AND(AH9=2),VLOOKUP(AN37,AN4:AT15,4,0),IF(AND(AH9=3),VLOOKUP(AN37,AN4:AT15,5,0),IF(AND(AH9=4),VLOOKUP(AN37,AN4:AT15,6,0),IF(AND(AH9=5),VLOOKUP(AN37,AN4:AT15,7,0))))))</f>
        <v>58330</v>
      </c>
      <c r="AQ37" s="38">
        <v>12.052</v>
      </c>
    </row>
    <row r="38" spans="1:43" s="38" customFormat="1" ht="21" customHeight="1">
      <c r="A38" s="176"/>
      <c r="B38" s="176"/>
      <c r="C38" s="176"/>
      <c r="D38" s="176"/>
      <c r="E38" s="176"/>
      <c r="F38" s="176"/>
      <c r="G38" s="176"/>
      <c r="H38" s="176"/>
      <c r="I38" s="176"/>
      <c r="J38" s="176"/>
      <c r="K38" s="176"/>
      <c r="L38" s="176"/>
      <c r="M38" s="176"/>
      <c r="N38" s="176"/>
      <c r="O38" s="176"/>
      <c r="P38" s="176"/>
      <c r="Q38" s="176"/>
      <c r="AE38" s="141"/>
      <c r="AF38" s="141"/>
      <c r="AG38" s="164"/>
      <c r="AH38" s="165"/>
      <c r="AI38" s="166"/>
      <c r="AJ38" s="166"/>
      <c r="AK38" s="167"/>
      <c r="AL38" s="167"/>
      <c r="AN38" s="38">
        <v>10</v>
      </c>
      <c r="AO38" s="38" t="s">
        <v>227</v>
      </c>
      <c r="AP38" s="38">
        <f>IF(AND(AH9=1),VLOOKUP(AN38,AN4:AT15,3,0),IF(AND(AH9=2),VLOOKUP(AN38,AN4:AT15,4,0),IF(AND(AH9=3),VLOOKUP(AN38,AN4:AT15,5,0),IF(AND(AH9=4),VLOOKUP(AN38,AN4:AT15,6,0),IF(AND(AH9=5),VLOOKUP(AN38,AN4:AT15,7,0))))))</f>
        <v>58330</v>
      </c>
      <c r="AQ38" s="38">
        <v>12.052</v>
      </c>
    </row>
    <row r="39" spans="1:43" s="181" customFormat="1" ht="16.5" customHeight="1">
      <c r="A39" s="177"/>
      <c r="B39" s="178"/>
      <c r="C39" s="178"/>
      <c r="D39" s="178"/>
      <c r="E39" s="178"/>
      <c r="F39" s="179"/>
      <c r="G39" s="179"/>
      <c r="H39" s="179"/>
      <c r="I39" s="179"/>
      <c r="J39" s="179"/>
      <c r="K39" s="179"/>
      <c r="L39" s="179"/>
      <c r="M39" s="179"/>
      <c r="N39" s="180"/>
      <c r="O39" s="180"/>
      <c r="P39" s="180"/>
      <c r="Q39" s="180"/>
      <c r="AC39" s="181">
        <v>1</v>
      </c>
      <c r="AE39" s="182"/>
      <c r="AF39" s="182"/>
      <c r="AG39" s="183"/>
      <c r="AH39" s="184"/>
      <c r="AI39" s="185"/>
      <c r="AJ39" s="185"/>
      <c r="AK39" s="186"/>
      <c r="AL39" s="186"/>
      <c r="AN39" s="181">
        <v>11</v>
      </c>
      <c r="AO39" s="181" t="s">
        <v>231</v>
      </c>
      <c r="AP39" s="181">
        <f>IF(AND(AH9=1),VLOOKUP(AN39,AN4:AT15,3,0),IF(AND(AH9=2),VLOOKUP(AN39,AN4:AT15,4,0),IF(AND(AH9=3),VLOOKUP(AN39,AN4:AT15,5,0),IF(AND(AH9=4),VLOOKUP(AN39,AN4:AT15,6,0),IF(AND(AH9=5),VLOOKUP(AN39,AN4:AT15,7,0))))))</f>
        <v>58330</v>
      </c>
      <c r="AQ39" s="38">
        <v>12.052</v>
      </c>
    </row>
    <row r="40" spans="1:43" ht="39.75" customHeight="1" hidden="1">
      <c r="A40" s="187"/>
      <c r="B40" s="188"/>
      <c r="C40" s="188"/>
      <c r="D40" s="188"/>
      <c r="E40" s="188"/>
      <c r="F40" s="189"/>
      <c r="G40" s="189"/>
      <c r="H40" s="189"/>
      <c r="I40" s="189"/>
      <c r="J40" s="189"/>
      <c r="K40" s="189"/>
      <c r="L40" s="189"/>
      <c r="M40" s="189"/>
      <c r="N40" s="38"/>
      <c r="O40" s="38"/>
      <c r="P40" s="38"/>
      <c r="AC40" s="38">
        <f>VLOOKUP(AC39,AA41:AC44,3,0)</f>
        <v>0</v>
      </c>
      <c r="AE40" s="141"/>
      <c r="AF40" s="141"/>
      <c r="AG40" s="141"/>
      <c r="AH40" s="141"/>
      <c r="AI40" s="141"/>
      <c r="AJ40" s="141"/>
      <c r="AK40" s="141"/>
      <c r="AL40" s="141"/>
      <c r="AN40" s="38">
        <v>12</v>
      </c>
      <c r="AO40" s="38" t="s">
        <v>234</v>
      </c>
      <c r="AP40" s="38">
        <f>IF(AND(AH9=1),VLOOKUP(AN40,AN4:AT15,3,0),IF(AND(AH9=2),VLOOKUP(AN40,AN4:AT15,4,0),IF(AND(AH9=3),VLOOKUP(AN40,AN4:AT15,5,0),IF(AND(AH9=4),VLOOKUP(AN40,AN4:AT15,6,0),IF(AND(AH9=5),VLOOKUP(AN40,AN4:AT15,7,0))))))</f>
        <v>58330</v>
      </c>
      <c r="AQ40" s="38">
        <v>12.052</v>
      </c>
    </row>
    <row r="41" spans="1:43" ht="39.75" customHeight="1" hidden="1">
      <c r="A41" s="187"/>
      <c r="B41" s="188"/>
      <c r="C41" s="188"/>
      <c r="D41" s="188"/>
      <c r="E41" s="188"/>
      <c r="F41" s="189"/>
      <c r="G41" s="189"/>
      <c r="H41" s="189"/>
      <c r="I41" s="189"/>
      <c r="J41" s="189"/>
      <c r="K41" s="189"/>
      <c r="L41" s="189"/>
      <c r="M41" s="189"/>
      <c r="N41" s="190" t="s">
        <v>247</v>
      </c>
      <c r="O41" s="190" t="s">
        <v>248</v>
      </c>
      <c r="P41" s="190"/>
      <c r="Q41" s="190" t="s">
        <v>249</v>
      </c>
      <c r="R41" s="190" t="s">
        <v>250</v>
      </c>
      <c r="S41" s="190" t="s">
        <v>251</v>
      </c>
      <c r="T41" s="190" t="s">
        <v>252</v>
      </c>
      <c r="U41" s="190" t="s">
        <v>194</v>
      </c>
      <c r="V41" s="190" t="s">
        <v>253</v>
      </c>
      <c r="W41" s="190"/>
      <c r="AA41" s="38">
        <v>1</v>
      </c>
      <c r="AB41" s="38" t="s">
        <v>254</v>
      </c>
      <c r="AC41" s="38">
        <v>0</v>
      </c>
      <c r="AE41" s="141"/>
      <c r="AF41" s="141"/>
      <c r="AG41" s="164"/>
      <c r="AH41" s="165"/>
      <c r="AI41" s="166"/>
      <c r="AJ41" s="166"/>
      <c r="AK41" s="167"/>
      <c r="AL41" s="167"/>
      <c r="AN41" s="38">
        <v>13</v>
      </c>
      <c r="AO41" s="38" t="s">
        <v>255</v>
      </c>
      <c r="AP41" s="38">
        <f>IF(AND($AH$9=1),VLOOKUP(AN41,$AN$4:$AT$16,3,0),IF(AND($AH$9=2),VLOOKUP(AN41,$AN$4:$AT$16,4,0),IF(AND($AH$9=3),VLOOKUP(AN41,$AN$4:$AT$16,5,0),IF(AND($AH$9=4),VLOOKUP(AN41,$AN$4:$AT$16,6,0),IF(AND($AH$9=5),VLOOKUP(AN41,$AN$4:$AT$16,7,0))))))</f>
        <v>58330</v>
      </c>
      <c r="AQ41" s="38">
        <v>12.052</v>
      </c>
    </row>
    <row r="42" spans="1:43" ht="39.75" customHeight="1" hidden="1">
      <c r="A42" s="38"/>
      <c r="B42" s="189"/>
      <c r="C42" s="189">
        <v>2</v>
      </c>
      <c r="D42" s="189"/>
      <c r="E42" s="189"/>
      <c r="F42" s="189"/>
      <c r="G42" s="189"/>
      <c r="H42" s="189"/>
      <c r="I42" s="189"/>
      <c r="J42" s="189"/>
      <c r="K42" s="189">
        <v>12.052</v>
      </c>
      <c r="L42" s="189"/>
      <c r="M42" s="189"/>
      <c r="N42" s="191">
        <v>2</v>
      </c>
      <c r="O42" s="192">
        <f>IF(N41=2,"","March,15")</f>
        <v>0</v>
      </c>
      <c r="P42" s="193">
        <f>Q42</f>
        <v>12</v>
      </c>
      <c r="Q42" s="193">
        <f>IF(AND(T123=1),U116,IF(AND(T123&lt;=N42-1),U124,U116))</f>
        <v>12</v>
      </c>
      <c r="R42" s="193">
        <f>IF(AND(AA56=1),C10,IF(AND(AA56&lt;=N42-1),L10,C10))</f>
        <v>0</v>
      </c>
      <c r="S42" s="193">
        <f>IF(AND(AA54=1),C18,IF(AND(AA54&lt;=N42-1),O18,C18))</f>
        <v>10000</v>
      </c>
      <c r="T42" s="193">
        <f>IF(AND(AA55=1),G19,IF(AND(AA55&lt;=N42-1),P19,G19))</f>
        <v>1000</v>
      </c>
      <c r="U42" s="192">
        <v>60</v>
      </c>
      <c r="V42" s="192">
        <v>1111</v>
      </c>
      <c r="W42" s="192"/>
      <c r="AA42" s="38">
        <v>2</v>
      </c>
      <c r="AB42" s="38" t="s">
        <v>228</v>
      </c>
      <c r="AC42" s="38">
        <v>100</v>
      </c>
      <c r="AE42" s="141"/>
      <c r="AF42" s="141"/>
      <c r="AG42" s="164"/>
      <c r="AH42" s="165"/>
      <c r="AI42" s="166"/>
      <c r="AJ42" s="166"/>
      <c r="AK42" s="167"/>
      <c r="AL42" s="167"/>
      <c r="AN42" s="38">
        <v>14</v>
      </c>
      <c r="AO42" s="38" t="s">
        <v>256</v>
      </c>
      <c r="AP42" s="38">
        <f>IF(AND($AH$9=1),VLOOKUP(AN42,$AN$4:$AT$16,3,0),IF(AND($AH$9=2),VLOOKUP(AN42,$AN$4:$AT$16,4,0),IF(AND($AH$9=3),VLOOKUP(AN42,$AN$4:$AT$16,5,0),IF(AND($AH$9=4),VLOOKUP(AN41,$AN$4:$AT$16,6,0),IF(AND($AH$9=5),VLOOKUP(AN42,AN5:AT16,7,0))))))</f>
        <v>58330</v>
      </c>
      <c r="AQ42" s="38">
        <v>12.052</v>
      </c>
    </row>
    <row r="43" spans="1:38" ht="39.75" customHeight="1" hidden="1">
      <c r="A43" s="38"/>
      <c r="B43" s="189"/>
      <c r="C43" s="189"/>
      <c r="D43" s="189"/>
      <c r="E43" s="189"/>
      <c r="F43" s="189"/>
      <c r="G43" s="189"/>
      <c r="H43" s="189"/>
      <c r="I43" s="189"/>
      <c r="J43" s="189"/>
      <c r="K43" s="189"/>
      <c r="L43" s="189"/>
      <c r="M43" s="189"/>
      <c r="N43" s="191">
        <v>3</v>
      </c>
      <c r="O43" s="192">
        <f>IF(N41=2,"","April,15")</f>
        <v>0</v>
      </c>
      <c r="P43" s="193">
        <f aca="true" t="shared" si="5" ref="P43:P53">IF(Q43=10,12,IF(Q43=12.5,14.5,Q43))</f>
        <v>12</v>
      </c>
      <c r="Q43" s="193">
        <f>IF(AND(T123=1),U116,IF(AND(T123&lt;=N43-1),U124,U116))</f>
        <v>12</v>
      </c>
      <c r="R43" s="193">
        <f>IF(AND(AA56=1),C10,IF(AND(AA56&lt;=N43-1),L10,C10))</f>
        <v>0</v>
      </c>
      <c r="S43" s="193">
        <f>IF(AND(AA54=1),C18,IF(AND(AA54&lt;=N43-1),O18,C18))</f>
        <v>10000</v>
      </c>
      <c r="T43" s="193">
        <f>IF(AND(AA55=1),G19,IF(AND(AA55&lt;=N43-1),P19,G19))</f>
        <v>1000</v>
      </c>
      <c r="U43" s="193">
        <f aca="true" t="shared" si="6" ref="U43:U53">U42</f>
        <v>60</v>
      </c>
      <c r="V43" s="193">
        <f aca="true" t="shared" si="7" ref="V43:V53">V42</f>
        <v>1111</v>
      </c>
      <c r="W43" s="193">
        <f aca="true" t="shared" si="8" ref="W43:W53">W42</f>
        <v>0</v>
      </c>
      <c r="AA43" s="38">
        <v>3</v>
      </c>
      <c r="AB43" s="38" t="s">
        <v>208</v>
      </c>
      <c r="AC43" s="38">
        <v>125</v>
      </c>
      <c r="AE43" s="141"/>
      <c r="AF43" s="141"/>
      <c r="AG43" s="164"/>
      <c r="AH43" s="165"/>
      <c r="AI43" s="166"/>
      <c r="AJ43" s="166"/>
      <c r="AK43" s="167"/>
      <c r="AL43" s="167"/>
    </row>
    <row r="44" spans="1:38" ht="39.75" customHeight="1" hidden="1">
      <c r="A44" s="38"/>
      <c r="B44" s="189"/>
      <c r="C44" s="189"/>
      <c r="D44" s="189"/>
      <c r="E44" s="189"/>
      <c r="F44" s="189"/>
      <c r="G44" s="189"/>
      <c r="H44" s="189"/>
      <c r="I44" s="189"/>
      <c r="J44" s="189"/>
      <c r="K44" s="189"/>
      <c r="L44" s="189"/>
      <c r="M44" s="189"/>
      <c r="N44" s="191">
        <v>4</v>
      </c>
      <c r="O44" s="192">
        <f>IF(N41=2,"","May,15")</f>
        <v>0</v>
      </c>
      <c r="P44" s="193">
        <f t="shared" si="5"/>
        <v>12</v>
      </c>
      <c r="Q44" s="193">
        <f>IF(AND(T123=1),U116,IF(AND(T123&lt;=N44-1),U124,U116))</f>
        <v>12</v>
      </c>
      <c r="R44" s="193">
        <f>IF(AND(AA56=1),C10,IF(AND(AA56&lt;=N44-1),L10,C10))</f>
        <v>0</v>
      </c>
      <c r="S44" s="193">
        <f>IF(AND(AA54=1),C18,IF(AND(AA54&lt;=N44-1),O18,C18))</f>
        <v>10000</v>
      </c>
      <c r="T44" s="193">
        <f>IF(AND(AA55=1),G19,IF(AND(AA55&lt;=N44-1),P19,G19))</f>
        <v>1000</v>
      </c>
      <c r="U44" s="193">
        <f t="shared" si="6"/>
        <v>60</v>
      </c>
      <c r="V44" s="193">
        <f t="shared" si="7"/>
        <v>1111</v>
      </c>
      <c r="W44" s="193">
        <f t="shared" si="8"/>
        <v>0</v>
      </c>
      <c r="AA44" s="38">
        <v>4</v>
      </c>
      <c r="AB44" s="38" t="s">
        <v>235</v>
      </c>
      <c r="AC44" s="38">
        <v>150</v>
      </c>
      <c r="AE44" s="141"/>
      <c r="AF44" s="141"/>
      <c r="AG44" s="164"/>
      <c r="AH44" s="165"/>
      <c r="AI44" s="166"/>
      <c r="AJ44" s="166"/>
      <c r="AK44" s="167"/>
      <c r="AL44" s="167"/>
    </row>
    <row r="45" spans="1:38" ht="39.75" customHeight="1" hidden="1">
      <c r="A45" s="38"/>
      <c r="B45" s="189"/>
      <c r="C45" s="189"/>
      <c r="D45" s="189"/>
      <c r="E45" s="189"/>
      <c r="F45" s="189"/>
      <c r="G45" s="189"/>
      <c r="H45" s="189"/>
      <c r="I45" s="189"/>
      <c r="J45" s="189"/>
      <c r="K45" s="189"/>
      <c r="L45" s="189"/>
      <c r="M45" s="189"/>
      <c r="N45" s="191">
        <v>5</v>
      </c>
      <c r="O45" s="192">
        <f>IF(N41=2,"","June,15")</f>
        <v>0</v>
      </c>
      <c r="P45" s="193">
        <f t="shared" si="5"/>
        <v>12</v>
      </c>
      <c r="Q45" s="193">
        <f>IF(AND(T123=1),U116,IF(AND(T123&lt;=N45-1),U124,U116))</f>
        <v>12</v>
      </c>
      <c r="R45" s="193">
        <f>IF(AND(AA56=1),C10,IF(AND(AA56&lt;=N45-1),L10,C10))</f>
        <v>0</v>
      </c>
      <c r="S45" s="193">
        <f>IF(AND(AA54=1),C18,IF(AND(AA54&lt;=N45-1),O18,C18))</f>
        <v>10000</v>
      </c>
      <c r="T45" s="193">
        <f>IF(AND(AA55=1),G19,IF(AND(AA55&lt;=N45-1),P19,G19))</f>
        <v>1000</v>
      </c>
      <c r="U45" s="193">
        <f t="shared" si="6"/>
        <v>60</v>
      </c>
      <c r="V45" s="193">
        <f t="shared" si="7"/>
        <v>1111</v>
      </c>
      <c r="W45" s="193">
        <f t="shared" si="8"/>
        <v>0</v>
      </c>
      <c r="X45" s="141"/>
      <c r="Y45" s="141"/>
      <c r="AA45" s="38">
        <v>5</v>
      </c>
      <c r="AB45" s="38" t="s">
        <v>239</v>
      </c>
      <c r="AE45" s="141"/>
      <c r="AF45" s="141"/>
      <c r="AG45" s="164"/>
      <c r="AH45" s="165"/>
      <c r="AI45" s="166"/>
      <c r="AJ45" s="166"/>
      <c r="AK45" s="167"/>
      <c r="AL45" s="167"/>
    </row>
    <row r="46" spans="1:38" ht="39.75" customHeight="1" hidden="1">
      <c r="A46" s="38"/>
      <c r="B46" s="189"/>
      <c r="C46" s="189"/>
      <c r="D46" s="189"/>
      <c r="E46" s="189"/>
      <c r="F46" s="189"/>
      <c r="G46" s="189"/>
      <c r="H46" s="189">
        <v>2</v>
      </c>
      <c r="I46" s="189"/>
      <c r="J46" s="189"/>
      <c r="K46" s="189"/>
      <c r="L46" s="189"/>
      <c r="M46" s="189"/>
      <c r="N46" s="191">
        <v>6</v>
      </c>
      <c r="O46" s="192">
        <f>IF(N41=2,"","July,15")</f>
        <v>0</v>
      </c>
      <c r="P46" s="193">
        <f t="shared" si="5"/>
        <v>12</v>
      </c>
      <c r="Q46" s="193">
        <f>IF(AND(T123=1),U116,IF(AND(T123&lt;=N46-1),U124,U116))</f>
        <v>12</v>
      </c>
      <c r="R46" s="193">
        <f>IF(AND(AA56=1),C10,IF(AND(AA56&lt;=N46-1),L10,C10))</f>
        <v>0</v>
      </c>
      <c r="S46" s="193">
        <f>IF(AND(AA54=1),C18,IF(AND(AA54&lt;=N46-1),O18,C18))</f>
        <v>10000</v>
      </c>
      <c r="T46" s="193">
        <f>IF(AND(AA55=1),G19,IF(AND(AA55&lt;=N46-1),P19,G19))</f>
        <v>1000</v>
      </c>
      <c r="U46" s="193">
        <f t="shared" si="6"/>
        <v>60</v>
      </c>
      <c r="V46" s="193">
        <f t="shared" si="7"/>
        <v>1111</v>
      </c>
      <c r="W46" s="193">
        <f t="shared" si="8"/>
        <v>0</v>
      </c>
      <c r="X46" s="141"/>
      <c r="Y46" s="141"/>
      <c r="AA46" s="38">
        <v>6</v>
      </c>
      <c r="AB46" s="38" t="s">
        <v>217</v>
      </c>
      <c r="AE46" s="141"/>
      <c r="AF46" s="141"/>
      <c r="AG46" s="141"/>
      <c r="AH46" s="141"/>
      <c r="AI46" s="141"/>
      <c r="AJ46" s="141"/>
      <c r="AK46" s="141"/>
      <c r="AL46" s="141"/>
    </row>
    <row r="47" spans="1:38" ht="39.75" customHeight="1" hidden="1">
      <c r="A47" s="38"/>
      <c r="B47" s="189"/>
      <c r="C47" s="189"/>
      <c r="D47" s="189"/>
      <c r="E47" s="189"/>
      <c r="F47" s="189"/>
      <c r="G47" s="189"/>
      <c r="H47" s="189" t="s">
        <v>257</v>
      </c>
      <c r="I47" s="189"/>
      <c r="J47" s="189"/>
      <c r="K47" s="189"/>
      <c r="L47" s="189"/>
      <c r="M47" s="189"/>
      <c r="N47" s="191">
        <v>7</v>
      </c>
      <c r="O47" s="192">
        <f>IF(N41=2,"","Aug,15")</f>
        <v>0</v>
      </c>
      <c r="P47" s="193">
        <f t="shared" si="5"/>
        <v>12</v>
      </c>
      <c r="Q47" s="193">
        <f>IF(AND(T123=1),U116,IF(AND(T123&lt;=N47-1),U124,U116))</f>
        <v>12</v>
      </c>
      <c r="R47" s="193">
        <f>IF(AND(AA56=1),C10,IF(AND(AA56&lt;=N47-1),L10,C10))</f>
        <v>0</v>
      </c>
      <c r="S47" s="193">
        <f>IF(AND(AA54=1),C18,IF(AND(AA54&lt;=N47-1),O18,C18))</f>
        <v>10000</v>
      </c>
      <c r="T47" s="193">
        <f>IF(AND(AA55=1),G19,IF(AND(AA55&lt;=N47-1),P19,G19))</f>
        <v>1000</v>
      </c>
      <c r="U47" s="193">
        <f t="shared" si="6"/>
        <v>60</v>
      </c>
      <c r="V47" s="193">
        <f t="shared" si="7"/>
        <v>1111</v>
      </c>
      <c r="W47" s="193">
        <f t="shared" si="8"/>
        <v>0</v>
      </c>
      <c r="X47" s="141"/>
      <c r="Y47" s="141"/>
      <c r="AA47" s="38">
        <v>7</v>
      </c>
      <c r="AB47" s="38" t="s">
        <v>245</v>
      </c>
      <c r="AE47" s="141"/>
      <c r="AF47" s="194"/>
      <c r="AG47" s="141"/>
      <c r="AH47" s="141"/>
      <c r="AI47" s="141"/>
      <c r="AJ47" s="141"/>
      <c r="AK47" s="141"/>
      <c r="AL47" s="141"/>
    </row>
    <row r="48" spans="1:38" ht="39.75" customHeight="1" hidden="1">
      <c r="A48" s="38"/>
      <c r="B48" s="189"/>
      <c r="C48" s="189"/>
      <c r="D48" s="189"/>
      <c r="E48" s="189"/>
      <c r="F48" s="189"/>
      <c r="G48" s="189"/>
      <c r="H48" s="189" t="s">
        <v>258</v>
      </c>
      <c r="I48" s="189"/>
      <c r="J48" s="189"/>
      <c r="K48" s="189"/>
      <c r="L48" s="189"/>
      <c r="M48" s="189"/>
      <c r="N48" s="191">
        <v>8</v>
      </c>
      <c r="O48" s="192">
        <f>IF(N41=2,"","Sept,15")</f>
        <v>0</v>
      </c>
      <c r="P48" s="193">
        <f t="shared" si="5"/>
        <v>12</v>
      </c>
      <c r="Q48" s="193">
        <f>IF(AND(T123=1),U116,IF(AND(T123&lt;=N48-1),U124,U116))</f>
        <v>12</v>
      </c>
      <c r="R48" s="193">
        <f>IF(AND(AA56=1),C10,IF(AND(AA56&lt;=N48-1),L10,C10))</f>
        <v>0</v>
      </c>
      <c r="S48" s="193">
        <f>IF(AND(AA54=1),C18,IF(AND(AA54&lt;=N48-1),O18,C18))</f>
        <v>10000</v>
      </c>
      <c r="T48" s="193">
        <f>IF(AND(AA55=1),G19,IF(AND(AA55&lt;=N48-1),P19,G19))</f>
        <v>1000</v>
      </c>
      <c r="U48" s="193">
        <f t="shared" si="6"/>
        <v>60</v>
      </c>
      <c r="V48" s="193">
        <f t="shared" si="7"/>
        <v>1111</v>
      </c>
      <c r="W48" s="193">
        <f t="shared" si="8"/>
        <v>0</v>
      </c>
      <c r="X48" s="141"/>
      <c r="Y48" s="141"/>
      <c r="AA48" s="38">
        <v>8</v>
      </c>
      <c r="AB48" s="38" t="s">
        <v>224</v>
      </c>
      <c r="AE48" s="141"/>
      <c r="AF48" s="141"/>
      <c r="AG48" s="141"/>
      <c r="AH48" s="141"/>
      <c r="AI48" s="141"/>
      <c r="AJ48" s="141"/>
      <c r="AK48" s="141"/>
      <c r="AL48" s="141"/>
    </row>
    <row r="49" spans="1:38" ht="39.75" customHeight="1" hidden="1">
      <c r="A49" s="38"/>
      <c r="B49" s="189"/>
      <c r="C49" s="189"/>
      <c r="D49" s="189"/>
      <c r="E49" s="189"/>
      <c r="F49" s="189"/>
      <c r="G49" s="189"/>
      <c r="H49" s="189"/>
      <c r="I49" s="189"/>
      <c r="J49" s="189"/>
      <c r="K49" s="189"/>
      <c r="L49" s="189"/>
      <c r="M49" s="189"/>
      <c r="N49" s="191">
        <v>9</v>
      </c>
      <c r="O49" s="192">
        <f>IF(N41=2,"","Oct,15")</f>
        <v>0</v>
      </c>
      <c r="P49" s="193">
        <f t="shared" si="5"/>
        <v>12</v>
      </c>
      <c r="Q49" s="193">
        <f>IF(AND(T123=1),U116,IF(AND(T123&lt;=N49-1),U124,U116))</f>
        <v>12</v>
      </c>
      <c r="R49" s="193">
        <f>IF(AND(AA56=1),C10,IF(AND(AA56&lt;=N49-1),L10,C10))</f>
        <v>0</v>
      </c>
      <c r="S49" s="193">
        <f>IF(AND(AA54=1),C18,IF(AND(AA54&lt;=N49-1),O18,C18))</f>
        <v>10000</v>
      </c>
      <c r="T49" s="193">
        <f>IF(AND(AA55=1),G19,IF(AND(AA55&lt;=N49-1),P19,G19))</f>
        <v>1000</v>
      </c>
      <c r="U49" s="193">
        <f t="shared" si="6"/>
        <v>60</v>
      </c>
      <c r="V49" s="193">
        <f t="shared" si="7"/>
        <v>1111</v>
      </c>
      <c r="W49" s="193">
        <f t="shared" si="8"/>
        <v>0</v>
      </c>
      <c r="X49" s="141"/>
      <c r="Y49" s="141"/>
      <c r="AA49" s="38">
        <v>9</v>
      </c>
      <c r="AB49" s="38" t="s">
        <v>227</v>
      </c>
      <c r="AE49" s="141"/>
      <c r="AF49" s="195"/>
      <c r="AG49" s="141"/>
      <c r="AH49" s="141"/>
      <c r="AI49" s="141"/>
      <c r="AJ49" s="141"/>
      <c r="AK49" s="141"/>
      <c r="AL49" s="141"/>
    </row>
    <row r="50" spans="1:38" ht="39.75" customHeight="1" hidden="1">
      <c r="A50" s="38"/>
      <c r="B50" s="189"/>
      <c r="C50" s="189"/>
      <c r="D50" s="189"/>
      <c r="E50" s="189"/>
      <c r="F50" s="189"/>
      <c r="G50" s="189"/>
      <c r="H50" s="189"/>
      <c r="I50" s="189"/>
      <c r="J50" s="189"/>
      <c r="K50" s="189"/>
      <c r="L50" s="189"/>
      <c r="M50" s="189"/>
      <c r="N50" s="191">
        <v>10</v>
      </c>
      <c r="O50" s="192">
        <f>IF(N41=2,"","Nov,15")</f>
        <v>0</v>
      </c>
      <c r="P50" s="193">
        <f t="shared" si="5"/>
        <v>12</v>
      </c>
      <c r="Q50" s="193">
        <f>IF(AND(T123=1),U116,IF(AND(T123&lt;=N50-1),U124,U116))</f>
        <v>12</v>
      </c>
      <c r="R50" s="193">
        <f>IF(AND(AA56=1),C10,IF(AND(AA56&lt;=N50-1),L10,C10))</f>
        <v>0</v>
      </c>
      <c r="S50" s="193">
        <f>IF(AND(AA54=1),C18,IF(AND(AA54&lt;=N50-1),O18,C18))</f>
        <v>10000</v>
      </c>
      <c r="T50" s="193">
        <f>IF(AND(AA55=1),G19,IF(AND(AA55&lt;=N50-1),P19,G19))</f>
        <v>1000</v>
      </c>
      <c r="U50" s="193">
        <f t="shared" si="6"/>
        <v>60</v>
      </c>
      <c r="V50" s="193">
        <f t="shared" si="7"/>
        <v>1111</v>
      </c>
      <c r="W50" s="193">
        <f t="shared" si="8"/>
        <v>0</v>
      </c>
      <c r="X50" s="141"/>
      <c r="Y50" s="141"/>
      <c r="AA50" s="38">
        <v>10</v>
      </c>
      <c r="AB50" s="38" t="s">
        <v>231</v>
      </c>
      <c r="AE50" s="141"/>
      <c r="AF50" s="141"/>
      <c r="AG50" s="141"/>
      <c r="AH50" s="141"/>
      <c r="AI50" s="141"/>
      <c r="AJ50" s="141"/>
      <c r="AK50" s="141"/>
      <c r="AL50" s="141"/>
    </row>
    <row r="51" spans="1:38" ht="39.75" customHeight="1" hidden="1">
      <c r="A51" s="38"/>
      <c r="B51" s="189"/>
      <c r="C51" s="189"/>
      <c r="D51" s="189"/>
      <c r="E51" s="189"/>
      <c r="F51" s="189"/>
      <c r="G51" s="189"/>
      <c r="H51" s="189"/>
      <c r="I51" s="189"/>
      <c r="J51" s="189"/>
      <c r="K51" s="189"/>
      <c r="L51" s="189"/>
      <c r="M51" s="189"/>
      <c r="N51" s="191">
        <v>11</v>
      </c>
      <c r="O51" s="192">
        <f>IF(N41=2,"","Dec,15")</f>
        <v>0</v>
      </c>
      <c r="P51" s="193">
        <f t="shared" si="5"/>
        <v>12</v>
      </c>
      <c r="Q51" s="193">
        <f>IF(AND(T123=1),U116,IF(AND(T123&lt;=N51-1),U124,U116))</f>
        <v>12</v>
      </c>
      <c r="R51" s="193">
        <f>IF(AND(AA56=1),C10,IF(AND(AA56&lt;=N51-1),L10,C10))</f>
        <v>0</v>
      </c>
      <c r="S51" s="193">
        <f>IF(AND(AA54=1),C18,IF(AND(AA54&lt;=N51-1),O18,C18))</f>
        <v>10000</v>
      </c>
      <c r="T51" s="193">
        <f>IF(AND(AA55=1),G19,IF(AND(AA55&lt;=N51-1),P19,G19))</f>
        <v>1000</v>
      </c>
      <c r="U51" s="193">
        <f t="shared" si="6"/>
        <v>60</v>
      </c>
      <c r="V51" s="193">
        <f t="shared" si="7"/>
        <v>1111</v>
      </c>
      <c r="W51" s="193">
        <f t="shared" si="8"/>
        <v>0</v>
      </c>
      <c r="X51" s="141"/>
      <c r="Y51" s="141"/>
      <c r="AA51" s="38">
        <v>11</v>
      </c>
      <c r="AB51" s="38" t="s">
        <v>234</v>
      </c>
      <c r="AE51" s="141"/>
      <c r="AF51" s="141"/>
      <c r="AG51" s="141"/>
      <c r="AH51" s="141"/>
      <c r="AI51" s="141"/>
      <c r="AJ51" s="141"/>
      <c r="AK51" s="141"/>
      <c r="AL51" s="141"/>
    </row>
    <row r="52" spans="1:38" ht="39.75" customHeight="1" hidden="1">
      <c r="A52" s="38"/>
      <c r="B52" s="189"/>
      <c r="C52" s="189"/>
      <c r="D52" s="189"/>
      <c r="E52" s="189"/>
      <c r="F52" s="189"/>
      <c r="G52" s="189"/>
      <c r="H52" s="189"/>
      <c r="I52" s="189"/>
      <c r="J52" s="189"/>
      <c r="K52" s="189"/>
      <c r="L52" s="189"/>
      <c r="M52" s="189"/>
      <c r="N52" s="191">
        <v>12</v>
      </c>
      <c r="O52" s="192">
        <f>IF(N41=2,"","Jan,16")</f>
        <v>0</v>
      </c>
      <c r="P52" s="193">
        <f t="shared" si="5"/>
        <v>12</v>
      </c>
      <c r="Q52" s="193">
        <f>IF(AND(T123=1),U116,IF(AND(T123&lt;=N52-1),U124,U116))</f>
        <v>12</v>
      </c>
      <c r="R52" s="193">
        <f>IF(AND(AA56=1),C10,IF(AND(AA56&lt;=N52-1),L10,C10))</f>
        <v>0</v>
      </c>
      <c r="S52" s="193">
        <f>IF(AND(AA54=1),C18,IF(AND(AA54&lt;=N52-1),O18,C18))</f>
        <v>10000</v>
      </c>
      <c r="T52" s="193">
        <f>IF(AND(AA55=1),G19,IF(AND(AA55&lt;=N52-1),P19,G19))</f>
        <v>1000</v>
      </c>
      <c r="U52" s="193">
        <f t="shared" si="6"/>
        <v>60</v>
      </c>
      <c r="V52" s="193">
        <f t="shared" si="7"/>
        <v>1111</v>
      </c>
      <c r="W52" s="193">
        <f t="shared" si="8"/>
        <v>0</v>
      </c>
      <c r="X52" s="141"/>
      <c r="Y52" s="141"/>
      <c r="AA52" s="38">
        <v>12</v>
      </c>
      <c r="AB52" s="38" t="s">
        <v>255</v>
      </c>
      <c r="AE52" s="141"/>
      <c r="AF52" s="141"/>
      <c r="AG52" s="141"/>
      <c r="AH52" s="141"/>
      <c r="AI52" s="141"/>
      <c r="AJ52" s="141"/>
      <c r="AK52" s="141"/>
      <c r="AL52" s="141"/>
    </row>
    <row r="53" spans="1:38" ht="39.75" customHeight="1" hidden="1">
      <c r="A53" s="38"/>
      <c r="B53" s="189"/>
      <c r="C53" s="189"/>
      <c r="D53" s="189"/>
      <c r="E53" s="189"/>
      <c r="F53" s="189"/>
      <c r="G53" s="189"/>
      <c r="H53" s="189"/>
      <c r="I53" s="189"/>
      <c r="J53" s="189"/>
      <c r="K53" s="189"/>
      <c r="L53" s="189"/>
      <c r="M53" s="189"/>
      <c r="N53" s="191">
        <v>13</v>
      </c>
      <c r="O53" s="192">
        <f>IF(N41=2,"","Feb,16")</f>
        <v>0</v>
      </c>
      <c r="P53" s="193">
        <f t="shared" si="5"/>
        <v>12</v>
      </c>
      <c r="Q53" s="193">
        <f>IF(AND(T123=1),U116,IF(AND(T123&lt;=N53-1),U124,U116))</f>
        <v>12</v>
      </c>
      <c r="R53" s="193">
        <f>IF(AND(AA56=1),C10,IF(AND(AA56&lt;=N53-1),L10,C10))</f>
        <v>0</v>
      </c>
      <c r="S53" s="193">
        <f>IF(AND(AA54=1),C18,IF(AND(AA54&lt;=N53-1),O18,C18))</f>
        <v>10000</v>
      </c>
      <c r="T53" s="193">
        <f>IF(AND(AA55=1),G19,IF(AND(AA55&lt;=N53-1),P19,G19))</f>
        <v>1000</v>
      </c>
      <c r="U53" s="193">
        <f t="shared" si="6"/>
        <v>60</v>
      </c>
      <c r="V53" s="193">
        <f t="shared" si="7"/>
        <v>1111</v>
      </c>
      <c r="W53" s="193">
        <f t="shared" si="8"/>
        <v>0</v>
      </c>
      <c r="AE53" s="141"/>
      <c r="AF53" s="141"/>
      <c r="AG53" s="141"/>
      <c r="AH53" s="141"/>
      <c r="AI53" s="141"/>
      <c r="AJ53" s="141"/>
      <c r="AK53" s="141"/>
      <c r="AL53" s="141"/>
    </row>
    <row r="54" spans="1:38" ht="39.75" customHeight="1" hidden="1">
      <c r="A54" s="38"/>
      <c r="B54" s="189"/>
      <c r="C54" s="189"/>
      <c r="D54" s="189"/>
      <c r="E54" s="189"/>
      <c r="F54" s="189"/>
      <c r="G54" s="189"/>
      <c r="H54" s="189"/>
      <c r="I54" s="189"/>
      <c r="J54" s="189"/>
      <c r="K54" s="189"/>
      <c r="L54" s="189"/>
      <c r="M54" s="189"/>
      <c r="N54" s="196"/>
      <c r="O54" s="197"/>
      <c r="P54" s="197"/>
      <c r="Q54" s="197"/>
      <c r="R54" s="197"/>
      <c r="S54" s="197"/>
      <c r="T54" s="197"/>
      <c r="U54" s="197"/>
      <c r="V54" s="197"/>
      <c r="W54" s="197"/>
      <c r="Y54" s="119"/>
      <c r="Z54" s="198" t="s">
        <v>259</v>
      </c>
      <c r="AA54" s="198">
        <v>1</v>
      </c>
      <c r="AB54" s="120">
        <f>VLOOKUP(AA54,AA41:AB52,2,0)</f>
        <v>0</v>
      </c>
      <c r="AE54" s="141"/>
      <c r="AF54" s="141"/>
      <c r="AG54" s="141"/>
      <c r="AH54" s="141"/>
      <c r="AI54" s="141"/>
      <c r="AJ54" s="141"/>
      <c r="AK54" s="141"/>
      <c r="AL54" s="141"/>
    </row>
    <row r="55" spans="1:38" ht="39.75" customHeight="1" hidden="1">
      <c r="A55" s="38"/>
      <c r="B55" s="189">
        <v>1</v>
      </c>
      <c r="C55" s="189"/>
      <c r="D55" s="189"/>
      <c r="E55" s="189"/>
      <c r="F55" s="189"/>
      <c r="G55" s="189"/>
      <c r="H55" s="189"/>
      <c r="I55" s="189"/>
      <c r="J55" s="189"/>
      <c r="K55" s="189"/>
      <c r="L55" s="189"/>
      <c r="M55" s="189"/>
      <c r="N55" s="38"/>
      <c r="O55" s="173"/>
      <c r="P55" s="173" t="s">
        <v>260</v>
      </c>
      <c r="Q55" s="173" t="s">
        <v>261</v>
      </c>
      <c r="R55" s="173"/>
      <c r="S55" s="173"/>
      <c r="Y55" s="126"/>
      <c r="Z55" s="141" t="s">
        <v>262</v>
      </c>
      <c r="AA55" s="141">
        <v>1</v>
      </c>
      <c r="AB55" s="127">
        <f>VLOOKUP(AA55,AA41:AB52,2,0)</f>
        <v>0</v>
      </c>
      <c r="AE55" s="141"/>
      <c r="AF55" s="141"/>
      <c r="AG55" s="141"/>
      <c r="AH55" s="141"/>
      <c r="AI55" s="141"/>
      <c r="AJ55" s="141"/>
      <c r="AK55" s="141"/>
      <c r="AL55" s="141"/>
    </row>
    <row r="56" spans="1:32" ht="39.75" customHeight="1" hidden="1">
      <c r="A56" s="38"/>
      <c r="B56" s="189" t="s">
        <v>263</v>
      </c>
      <c r="C56" s="189"/>
      <c r="D56" s="189"/>
      <c r="E56" s="189"/>
      <c r="F56" s="189"/>
      <c r="G56" s="189"/>
      <c r="H56" s="189"/>
      <c r="I56" s="189"/>
      <c r="J56" s="189"/>
      <c r="K56" s="189"/>
      <c r="L56" s="189"/>
      <c r="M56" s="189"/>
      <c r="N56" s="199" t="s">
        <v>264</v>
      </c>
      <c r="O56" s="199"/>
      <c r="P56" s="193">
        <v>0</v>
      </c>
      <c r="Q56" s="193">
        <v>0</v>
      </c>
      <c r="R56" s="173"/>
      <c r="S56" s="191" t="s">
        <v>265</v>
      </c>
      <c r="T56" s="191"/>
      <c r="U56" s="191"/>
      <c r="V56" s="193">
        <v>60000</v>
      </c>
      <c r="Y56" s="139"/>
      <c r="Z56" s="200" t="s">
        <v>250</v>
      </c>
      <c r="AA56" s="200">
        <v>1</v>
      </c>
      <c r="AB56" s="127">
        <f>VLOOKUP(AA56,AA41:AB52,2,0)</f>
        <v>0</v>
      </c>
      <c r="AF56" s="38" t="s">
        <v>266</v>
      </c>
    </row>
    <row r="57" spans="1:26" ht="39.75" customHeight="1" hidden="1">
      <c r="A57" s="38"/>
      <c r="B57" s="189"/>
      <c r="C57" s="189"/>
      <c r="D57" s="189"/>
      <c r="E57" s="189"/>
      <c r="F57" s="189"/>
      <c r="G57" s="189"/>
      <c r="H57" s="189"/>
      <c r="I57" s="189"/>
      <c r="J57" s="189"/>
      <c r="K57" s="189"/>
      <c r="L57" s="189"/>
      <c r="M57" s="189"/>
      <c r="N57" s="38"/>
      <c r="O57" s="173"/>
      <c r="P57" s="173"/>
      <c r="Q57" s="173"/>
      <c r="R57" s="173"/>
      <c r="S57" s="201"/>
      <c r="T57" s="201"/>
      <c r="U57" s="201"/>
      <c r="V57" s="201"/>
      <c r="Z57" s="38" t="s">
        <v>194</v>
      </c>
    </row>
    <row r="58" spans="1:32" ht="39.75" customHeight="1" hidden="1">
      <c r="A58" s="38"/>
      <c r="B58" s="189"/>
      <c r="C58" s="189"/>
      <c r="D58" s="189"/>
      <c r="E58" s="189"/>
      <c r="F58" s="189"/>
      <c r="G58" s="189"/>
      <c r="H58" s="189"/>
      <c r="I58" s="189"/>
      <c r="J58" s="189"/>
      <c r="K58" s="189"/>
      <c r="L58" s="189"/>
      <c r="M58" s="189"/>
      <c r="N58" s="202" t="s">
        <v>267</v>
      </c>
      <c r="O58" s="202"/>
      <c r="P58" s="202"/>
      <c r="Q58" s="193">
        <v>12173</v>
      </c>
      <c r="R58" s="173"/>
      <c r="S58" s="202" t="s">
        <v>268</v>
      </c>
      <c r="T58" s="202"/>
      <c r="U58" s="202"/>
      <c r="V58" s="193">
        <v>0</v>
      </c>
      <c r="AC58" s="203" t="s">
        <v>269</v>
      </c>
      <c r="AF58" s="38">
        <f>CONCATENATE("Statement Showing the Salary Particulars of : ",AB25," ",D4,", ",Z5,", ",C5,", Mandal : ",L5)</f>
        <v>0</v>
      </c>
    </row>
    <row r="59" spans="1:29" ht="39.75" customHeight="1" hidden="1">
      <c r="A59" s="38"/>
      <c r="B59" s="189"/>
      <c r="C59" s="189"/>
      <c r="D59" s="189"/>
      <c r="E59" s="189"/>
      <c r="F59" s="189"/>
      <c r="G59" s="189"/>
      <c r="H59" s="189"/>
      <c r="I59" s="189"/>
      <c r="J59" s="189"/>
      <c r="K59" s="189"/>
      <c r="L59" s="189"/>
      <c r="M59" s="189"/>
      <c r="N59" s="38"/>
      <c r="O59" s="38"/>
      <c r="P59" s="38"/>
      <c r="Y59" s="38">
        <f>C109</f>
        <v>17</v>
      </c>
      <c r="AA59" s="38">
        <v>2</v>
      </c>
      <c r="AC59" s="204">
        <v>2</v>
      </c>
    </row>
    <row r="60" spans="1:29" ht="39.75" customHeight="1" hidden="1">
      <c r="A60" s="38"/>
      <c r="B60" s="189"/>
      <c r="C60" s="189"/>
      <c r="D60" s="189"/>
      <c r="E60" s="205"/>
      <c r="F60" s="189"/>
      <c r="G60" s="189"/>
      <c r="H60" s="189"/>
      <c r="I60" s="189"/>
      <c r="J60" s="189"/>
      <c r="K60" s="189"/>
      <c r="L60" s="189"/>
      <c r="M60" s="206">
        <v>1</v>
      </c>
      <c r="N60" s="198">
        <f>VLOOKUP(M60,M61:N62,2,0)</f>
        <v>0</v>
      </c>
      <c r="O60" s="198"/>
      <c r="P60" s="198"/>
      <c r="Q60" s="198"/>
      <c r="R60" s="207">
        <f>VLOOKUP(M60,M61:S62,7,0)</f>
        <v>0</v>
      </c>
      <c r="S60" s="198">
        <f>M26</f>
        <v>0</v>
      </c>
      <c r="T60" s="208">
        <f>MIN(R60,S60)</f>
        <v>0</v>
      </c>
      <c r="Y60" s="38">
        <f>IF(AA79=2,"","1")</f>
        <v>0</v>
      </c>
      <c r="AA60" s="38">
        <v>1</v>
      </c>
      <c r="AB60" s="38" t="s">
        <v>270</v>
      </c>
      <c r="AC60" s="204">
        <f>VLOOKUP(AC59,AA60:AB61,2,0)</f>
        <v>0</v>
      </c>
    </row>
    <row r="61" spans="1:28" ht="39.75" customHeight="1" hidden="1">
      <c r="A61" s="38"/>
      <c r="B61" s="189"/>
      <c r="C61" s="189"/>
      <c r="D61" s="189"/>
      <c r="E61" s="189"/>
      <c r="F61" s="189"/>
      <c r="G61" s="189"/>
      <c r="H61" s="189"/>
      <c r="I61" s="189"/>
      <c r="J61" s="189"/>
      <c r="K61" s="189"/>
      <c r="L61" s="189"/>
      <c r="M61" s="209">
        <v>1</v>
      </c>
      <c r="N61" s="210" t="s">
        <v>271</v>
      </c>
      <c r="O61" s="210"/>
      <c r="P61" s="210"/>
      <c r="Q61" s="210"/>
      <c r="R61" s="210">
        <v>25000</v>
      </c>
      <c r="S61" s="211">
        <f>M26+V61</f>
        <v>0</v>
      </c>
      <c r="T61" s="208">
        <f>MIN(R61,S61)-'Annexure -II'!L26</f>
        <v>0</v>
      </c>
      <c r="V61" s="38">
        <f>MIN(M28,5000)</f>
        <v>0</v>
      </c>
      <c r="Y61" s="38">
        <f>IF(AA79=2,"","2")</f>
        <v>0</v>
      </c>
      <c r="AA61" s="38">
        <v>2</v>
      </c>
      <c r="AB61" s="38" t="s">
        <v>272</v>
      </c>
    </row>
    <row r="62" spans="1:63" ht="39.75" customHeight="1" hidden="1">
      <c r="A62" s="38"/>
      <c r="B62" s="189"/>
      <c r="C62" s="189"/>
      <c r="D62" s="189"/>
      <c r="E62" s="189"/>
      <c r="F62" s="189"/>
      <c r="G62" s="189"/>
      <c r="H62" s="189"/>
      <c r="I62" s="189"/>
      <c r="J62" s="189"/>
      <c r="K62" s="189"/>
      <c r="L62" s="189"/>
      <c r="M62" s="212">
        <v>2</v>
      </c>
      <c r="N62" s="213" t="s">
        <v>273</v>
      </c>
      <c r="O62" s="213"/>
      <c r="P62" s="213"/>
      <c r="Q62" s="213"/>
      <c r="R62" s="213">
        <v>30000</v>
      </c>
      <c r="S62" s="214">
        <f>M27</f>
        <v>0</v>
      </c>
      <c r="T62" s="208">
        <f aca="true" t="shared" si="9" ref="T62:T63">MIN(R62,S62)</f>
        <v>0</v>
      </c>
      <c r="Y62" s="38">
        <f>IF(AA79=2,"","3")</f>
        <v>0</v>
      </c>
      <c r="BJ62" s="38">
        <v>17</v>
      </c>
      <c r="BK62" s="38">
        <f>VLOOKUP(BJ62,BJ64:BK88,2,)</f>
        <v>0</v>
      </c>
    </row>
    <row r="63" spans="1:74" ht="39.75" customHeight="1" hidden="1">
      <c r="A63" s="38"/>
      <c r="B63" s="189"/>
      <c r="C63" s="189"/>
      <c r="D63" s="189"/>
      <c r="E63" s="189"/>
      <c r="F63" s="189"/>
      <c r="G63" s="189"/>
      <c r="H63" s="189"/>
      <c r="I63" s="189"/>
      <c r="J63" s="189"/>
      <c r="K63" s="189"/>
      <c r="L63" s="189"/>
      <c r="M63" s="206">
        <v>1</v>
      </c>
      <c r="N63" s="215">
        <f>VLOOKUP(M63,M64:N65,2,0)</f>
        <v>0</v>
      </c>
      <c r="O63" s="207"/>
      <c r="P63" s="207"/>
      <c r="Q63" s="207"/>
      <c r="R63" s="207">
        <f>VLOOKUP(M63,M64:S65,7,0)</f>
        <v>40000</v>
      </c>
      <c r="S63" s="216">
        <f>M26</f>
        <v>0</v>
      </c>
      <c r="T63" s="208">
        <f t="shared" si="9"/>
        <v>0</v>
      </c>
      <c r="Y63" s="38">
        <f>IF(AA79=2,"","4")</f>
        <v>0</v>
      </c>
      <c r="BM63" s="217" t="s">
        <v>165</v>
      </c>
      <c r="BN63" s="217" t="s">
        <v>171</v>
      </c>
      <c r="BO63" s="217" t="s">
        <v>174</v>
      </c>
      <c r="BP63" s="217" t="s">
        <v>274</v>
      </c>
      <c r="BQ63" s="217" t="s">
        <v>125</v>
      </c>
      <c r="BR63" s="217" t="s">
        <v>275</v>
      </c>
      <c r="BS63" s="217" t="s">
        <v>127</v>
      </c>
      <c r="BT63" s="217" t="s">
        <v>250</v>
      </c>
      <c r="BU63" s="217" t="s">
        <v>269</v>
      </c>
      <c r="BV63" s="217" t="s">
        <v>276</v>
      </c>
    </row>
    <row r="64" spans="1:76" ht="39.75" customHeight="1" hidden="1">
      <c r="A64" s="38"/>
      <c r="B64" s="189"/>
      <c r="C64" s="189"/>
      <c r="D64" s="189"/>
      <c r="E64" s="189"/>
      <c r="F64" s="189"/>
      <c r="G64" s="189"/>
      <c r="H64" s="189"/>
      <c r="I64" s="189"/>
      <c r="J64" s="189"/>
      <c r="K64" s="189"/>
      <c r="L64" s="189"/>
      <c r="M64" s="209">
        <v>1</v>
      </c>
      <c r="N64" s="210" t="s">
        <v>277</v>
      </c>
      <c r="O64" s="210"/>
      <c r="P64" s="210"/>
      <c r="Q64" s="210"/>
      <c r="R64" s="210"/>
      <c r="S64" s="211">
        <v>40000</v>
      </c>
      <c r="T64" s="127"/>
      <c r="Y64" s="38">
        <f>IF(AA79=2,"","5")</f>
        <v>0</v>
      </c>
      <c r="AA64" s="38">
        <v>9</v>
      </c>
      <c r="AB64" s="38">
        <f>VLOOKUP(AA64,AA65:AB77,2,0)</f>
        <v>0</v>
      </c>
      <c r="AG64" s="38">
        <v>2</v>
      </c>
      <c r="BJ64" s="38">
        <v>1</v>
      </c>
      <c r="BK64" s="38" t="s">
        <v>278</v>
      </c>
      <c r="BM64" s="38">
        <v>0</v>
      </c>
      <c r="BN64" s="38">
        <v>0</v>
      </c>
      <c r="BO64" s="38">
        <v>0</v>
      </c>
      <c r="BP64" s="38">
        <v>0</v>
      </c>
      <c r="BQ64" s="38">
        <v>0</v>
      </c>
      <c r="BR64" s="38">
        <v>0</v>
      </c>
      <c r="BS64" s="38">
        <v>0</v>
      </c>
      <c r="BT64" s="38">
        <v>0</v>
      </c>
      <c r="BU64" s="38">
        <v>0</v>
      </c>
      <c r="BV64" s="38">
        <v>0</v>
      </c>
      <c r="BW64" s="38">
        <v>0</v>
      </c>
      <c r="BX64" s="38">
        <v>0</v>
      </c>
    </row>
    <row r="65" spans="1:74" ht="39.75" customHeight="1" hidden="1">
      <c r="A65" s="38"/>
      <c r="B65" s="189"/>
      <c r="C65" s="189"/>
      <c r="D65" s="189"/>
      <c r="E65" s="189"/>
      <c r="F65" s="189"/>
      <c r="G65" s="189"/>
      <c r="H65" s="189"/>
      <c r="I65" s="189"/>
      <c r="J65" s="189"/>
      <c r="K65" s="189"/>
      <c r="L65" s="189"/>
      <c r="M65" s="212">
        <v>2</v>
      </c>
      <c r="N65" s="213" t="s">
        <v>279</v>
      </c>
      <c r="O65" s="213"/>
      <c r="P65" s="213"/>
      <c r="Q65" s="213"/>
      <c r="R65" s="213"/>
      <c r="S65" s="214">
        <v>60000</v>
      </c>
      <c r="T65" s="140"/>
      <c r="Y65" s="38">
        <f>IF(AA79=2,"","6")</f>
        <v>0</v>
      </c>
      <c r="AA65" s="38">
        <v>1</v>
      </c>
      <c r="AB65" s="38" t="s">
        <v>280</v>
      </c>
      <c r="AC65" s="218" t="s">
        <v>281</v>
      </c>
      <c r="AG65" s="38">
        <v>1</v>
      </c>
      <c r="AH65" s="38" t="s">
        <v>270</v>
      </c>
      <c r="BJ65" s="38">
        <v>2</v>
      </c>
      <c r="BK65" s="38" t="s">
        <v>282</v>
      </c>
      <c r="BM65" s="38">
        <f>ROUND('Annexure -I'!C4/2,0.1)</f>
        <v>28435</v>
      </c>
      <c r="BN65" s="38">
        <f>ROUND('Annexure -I'!D4/2,0.1)</f>
        <v>2533</v>
      </c>
      <c r="BO65" s="38">
        <f>ROUND('Annexure -I'!E4/2,0.1)</f>
        <v>3412</v>
      </c>
      <c r="BP65" s="38">
        <v>0</v>
      </c>
      <c r="BQ65" s="38">
        <f>ROUND('Annexure -I'!H4/2,0.1)</f>
        <v>0</v>
      </c>
      <c r="BR65" s="38">
        <f>ROUND('Annexure -I'!I4/2,0.1)</f>
        <v>0</v>
      </c>
      <c r="BS65" s="38">
        <v>0</v>
      </c>
      <c r="BT65" s="38">
        <f>ROUND('Annexure -I'!L4/2,0.1)</f>
        <v>0</v>
      </c>
      <c r="BU65" s="38">
        <v>0</v>
      </c>
      <c r="BV65" s="38">
        <f aca="true" t="shared" si="10" ref="BV65:BV90">SUM(BM65:BU65)</f>
        <v>34380</v>
      </c>
    </row>
    <row r="66" spans="1:74" ht="39.75" customHeight="1" hidden="1">
      <c r="A66" s="38"/>
      <c r="B66" s="189"/>
      <c r="C66" s="189"/>
      <c r="D66" s="189"/>
      <c r="E66" s="189"/>
      <c r="F66" s="189"/>
      <c r="G66" s="189"/>
      <c r="H66" s="189"/>
      <c r="I66" s="189"/>
      <c r="J66" s="189"/>
      <c r="K66" s="189"/>
      <c r="L66" s="189"/>
      <c r="M66" s="206">
        <v>1</v>
      </c>
      <c r="N66" s="215">
        <f>VLOOKUP(M66,M67:N68,2,0)</f>
        <v>0</v>
      </c>
      <c r="O66" s="207"/>
      <c r="P66" s="207"/>
      <c r="Q66" s="207"/>
      <c r="R66" s="207">
        <f>VLOOKUP(M66,M67:S68,7,0)</f>
        <v>100000</v>
      </c>
      <c r="S66" s="216">
        <f>M30</f>
        <v>0</v>
      </c>
      <c r="T66" s="208">
        <f>MIN(R66,S66)</f>
        <v>0</v>
      </c>
      <c r="Y66" s="38">
        <f>IF(AA79=2,"","7")</f>
        <v>0</v>
      </c>
      <c r="AA66" s="38">
        <v>2</v>
      </c>
      <c r="AB66" s="38" t="s">
        <v>221</v>
      </c>
      <c r="AC66" s="218" t="s">
        <v>283</v>
      </c>
      <c r="AG66" s="38">
        <v>2</v>
      </c>
      <c r="AH66" s="38" t="s">
        <v>272</v>
      </c>
      <c r="BJ66" s="38">
        <v>3</v>
      </c>
      <c r="BK66" s="38" t="s">
        <v>284</v>
      </c>
      <c r="BM66" s="38">
        <f>'Annexure -I'!C4</f>
        <v>56870</v>
      </c>
      <c r="BN66" s="38">
        <f>'Annexure -I'!D4</f>
        <v>5066</v>
      </c>
      <c r="BO66" s="38">
        <f>'Annexure -I'!E4</f>
        <v>6824</v>
      </c>
      <c r="BP66" s="38">
        <v>0</v>
      </c>
      <c r="BQ66" s="38">
        <f>'Annexure -I'!H4</f>
        <v>0</v>
      </c>
      <c r="BR66" s="38">
        <f>'Annexure -I'!I4</f>
        <v>0</v>
      </c>
      <c r="BS66" s="38">
        <v>0</v>
      </c>
      <c r="BT66" s="38">
        <f>'Annexure -I'!L4</f>
        <v>0</v>
      </c>
      <c r="BU66" s="38">
        <v>0</v>
      </c>
      <c r="BV66" s="38">
        <f t="shared" si="10"/>
        <v>68760</v>
      </c>
    </row>
    <row r="67" spans="1:74" ht="39.75" customHeight="1" hidden="1">
      <c r="A67" s="38"/>
      <c r="B67" s="189"/>
      <c r="C67" s="189"/>
      <c r="D67" s="189"/>
      <c r="E67" s="189"/>
      <c r="F67" s="189"/>
      <c r="G67" s="189"/>
      <c r="H67" s="189"/>
      <c r="I67" s="189"/>
      <c r="J67" s="189"/>
      <c r="K67" s="189"/>
      <c r="L67" s="189"/>
      <c r="M67" s="209">
        <v>1</v>
      </c>
      <c r="N67" s="210" t="s">
        <v>285</v>
      </c>
      <c r="O67" s="210"/>
      <c r="P67" s="210"/>
      <c r="Q67" s="210"/>
      <c r="R67" s="210"/>
      <c r="S67" s="211">
        <v>100000</v>
      </c>
      <c r="T67" s="127"/>
      <c r="Y67" s="38">
        <f>IF(AA79=2,"","8")</f>
        <v>0</v>
      </c>
      <c r="AA67" s="38">
        <v>3</v>
      </c>
      <c r="AB67" s="38" t="s">
        <v>228</v>
      </c>
      <c r="AC67" s="218" t="s">
        <v>286</v>
      </c>
      <c r="BJ67" s="38">
        <v>4</v>
      </c>
      <c r="BK67" s="38" t="s">
        <v>287</v>
      </c>
      <c r="BM67" s="38">
        <f>ROUND('Annexure -I'!C5/2,0.1)</f>
        <v>28435</v>
      </c>
      <c r="BN67" s="38">
        <f>ROUND('Annexure -I'!D5/2,0.1)</f>
        <v>2533</v>
      </c>
      <c r="BO67" s="38">
        <f>ROUND('Annexure -I'!E5/2,0.1)</f>
        <v>3412</v>
      </c>
      <c r="BP67" s="38">
        <v>0</v>
      </c>
      <c r="BQ67" s="38">
        <f>ROUND('Annexure -I'!H5/2,0.1)</f>
        <v>0</v>
      </c>
      <c r="BR67" s="38">
        <f>ROUND('Annexure -I'!I5/2,0.1)</f>
        <v>0</v>
      </c>
      <c r="BS67" s="38">
        <v>0</v>
      </c>
      <c r="BT67" s="38">
        <f>ROUND('Annexure -I'!L5/2,0.1)</f>
        <v>0</v>
      </c>
      <c r="BU67" s="38">
        <v>0</v>
      </c>
      <c r="BV67" s="38">
        <f t="shared" si="10"/>
        <v>34380</v>
      </c>
    </row>
    <row r="68" spans="1:74" ht="39.75" customHeight="1" hidden="1">
      <c r="A68" s="38"/>
      <c r="B68" s="189"/>
      <c r="C68" s="189"/>
      <c r="D68" s="189"/>
      <c r="E68" s="189"/>
      <c r="F68" s="189"/>
      <c r="G68" s="189"/>
      <c r="H68" s="189"/>
      <c r="I68" s="189"/>
      <c r="J68" s="189"/>
      <c r="K68" s="189"/>
      <c r="L68" s="189"/>
      <c r="M68" s="212">
        <v>2</v>
      </c>
      <c r="N68" s="213" t="s">
        <v>288</v>
      </c>
      <c r="O68" s="213"/>
      <c r="P68" s="213"/>
      <c r="Q68" s="213"/>
      <c r="R68" s="213"/>
      <c r="S68" s="214">
        <v>100000</v>
      </c>
      <c r="T68" s="140"/>
      <c r="Y68" s="38">
        <f>IF(AA79=2,"","9")</f>
        <v>0</v>
      </c>
      <c r="AA68" s="38">
        <v>4</v>
      </c>
      <c r="AB68" s="38" t="s">
        <v>208</v>
      </c>
      <c r="AC68" s="218" t="s">
        <v>289</v>
      </c>
      <c r="BJ68" s="38">
        <v>5</v>
      </c>
      <c r="BK68" s="38" t="s">
        <v>290</v>
      </c>
      <c r="BM68" s="38">
        <f>'Annexure -I'!C5</f>
        <v>56870</v>
      </c>
      <c r="BN68" s="38">
        <f>'Annexure -I'!D5</f>
        <v>5066</v>
      </c>
      <c r="BO68" s="38">
        <f>'Annexure -I'!E5</f>
        <v>6824</v>
      </c>
      <c r="BP68" s="38">
        <v>0</v>
      </c>
      <c r="BQ68" s="38">
        <f>'Annexure -I'!H5</f>
        <v>0</v>
      </c>
      <c r="BR68" s="38">
        <f>'Annexure -I'!I5</f>
        <v>0</v>
      </c>
      <c r="BS68" s="38">
        <v>0</v>
      </c>
      <c r="BT68" s="38">
        <f>'Annexure -I'!L5</f>
        <v>0</v>
      </c>
      <c r="BU68" s="38">
        <v>0</v>
      </c>
      <c r="BV68" s="38">
        <f t="shared" si="10"/>
        <v>68760</v>
      </c>
    </row>
    <row r="69" spans="1:74" ht="39.75" customHeight="1" hidden="1">
      <c r="A69" s="38"/>
      <c r="B69" s="189"/>
      <c r="C69" s="189"/>
      <c r="D69" s="189"/>
      <c r="E69" s="189"/>
      <c r="F69" s="189"/>
      <c r="G69" s="189"/>
      <c r="H69" s="189"/>
      <c r="I69" s="189"/>
      <c r="J69" s="189"/>
      <c r="K69" s="189"/>
      <c r="L69" s="189"/>
      <c r="M69" s="206"/>
      <c r="N69" s="207"/>
      <c r="O69" s="207"/>
      <c r="P69" s="207"/>
      <c r="Q69" s="207"/>
      <c r="R69" s="207"/>
      <c r="S69" s="216"/>
      <c r="T69" s="120"/>
      <c r="Y69" s="38">
        <f>IF(AA79=2,"","10")</f>
        <v>0</v>
      </c>
      <c r="AA69" s="38">
        <v>5</v>
      </c>
      <c r="AB69" s="38" t="s">
        <v>235</v>
      </c>
      <c r="AC69" s="218" t="s">
        <v>291</v>
      </c>
      <c r="BJ69" s="38">
        <v>6</v>
      </c>
      <c r="BK69" s="38" t="s">
        <v>292</v>
      </c>
      <c r="BM69" s="38">
        <f>ROUND('Annexure -I'!C6/2,0.1)</f>
        <v>28435</v>
      </c>
      <c r="BN69" s="38">
        <f>ROUND('Annexure -I'!D6/2,0.1)</f>
        <v>2533</v>
      </c>
      <c r="BO69" s="38">
        <f>ROUND('Annexure -I'!E6/2,0.1)</f>
        <v>3412</v>
      </c>
      <c r="BP69" s="38">
        <v>0</v>
      </c>
      <c r="BQ69" s="38">
        <f>ROUND('Annexure -I'!H6/2,0.1)</f>
        <v>0</v>
      </c>
      <c r="BR69" s="38">
        <f>ROUND('Annexure -I'!I6/2,0.1)</f>
        <v>0</v>
      </c>
      <c r="BS69" s="38">
        <v>0</v>
      </c>
      <c r="BT69" s="38">
        <f>ROUND('Annexure -I'!L6/2,0.1)</f>
        <v>0</v>
      </c>
      <c r="BU69" s="38">
        <v>0</v>
      </c>
      <c r="BV69" s="38">
        <f t="shared" si="10"/>
        <v>34380</v>
      </c>
    </row>
    <row r="70" spans="1:74" ht="39.75" customHeight="1" hidden="1">
      <c r="A70" s="38"/>
      <c r="B70" s="189"/>
      <c r="C70" s="189"/>
      <c r="D70" s="189"/>
      <c r="E70" s="189"/>
      <c r="F70" s="189"/>
      <c r="G70" s="189"/>
      <c r="H70" s="189"/>
      <c r="I70" s="189"/>
      <c r="J70" s="189"/>
      <c r="K70" s="189"/>
      <c r="L70" s="189"/>
      <c r="M70" s="209"/>
      <c r="N70" s="210" t="s">
        <v>293</v>
      </c>
      <c r="O70" s="210"/>
      <c r="P70" s="210"/>
      <c r="Q70" s="210"/>
      <c r="R70" s="211">
        <v>200000</v>
      </c>
      <c r="S70" s="141">
        <f>M22</f>
        <v>0</v>
      </c>
      <c r="T70" s="219">
        <f>S70</f>
        <v>0</v>
      </c>
      <c r="Y70" s="38">
        <f>IF(AA79=2,"","11")</f>
        <v>0</v>
      </c>
      <c r="AA70" s="38">
        <v>6</v>
      </c>
      <c r="AB70" s="38" t="s">
        <v>239</v>
      </c>
      <c r="AC70" s="218" t="s">
        <v>294</v>
      </c>
      <c r="BJ70" s="38">
        <v>7</v>
      </c>
      <c r="BK70" s="38" t="s">
        <v>295</v>
      </c>
      <c r="BM70" s="38">
        <f>'Annexure -I'!C6</f>
        <v>56870</v>
      </c>
      <c r="BN70" s="38">
        <f>'Annexure -I'!D6</f>
        <v>5066</v>
      </c>
      <c r="BO70" s="38">
        <f>'Annexure -I'!E6</f>
        <v>6824</v>
      </c>
      <c r="BP70" s="38">
        <v>0</v>
      </c>
      <c r="BQ70" s="38">
        <f>'Annexure -I'!H6</f>
        <v>0</v>
      </c>
      <c r="BR70" s="38">
        <f>'Annexure -I'!I6</f>
        <v>0</v>
      </c>
      <c r="BS70" s="38">
        <v>0</v>
      </c>
      <c r="BT70" s="38">
        <f>'Annexure -I'!L6</f>
        <v>0</v>
      </c>
      <c r="BU70" s="38">
        <v>0</v>
      </c>
      <c r="BV70" s="38">
        <f t="shared" si="10"/>
        <v>68760</v>
      </c>
    </row>
    <row r="71" spans="1:74" ht="39.75" customHeight="1" hidden="1">
      <c r="A71" s="38"/>
      <c r="B71" s="189"/>
      <c r="C71" s="189"/>
      <c r="D71" s="189"/>
      <c r="E71" s="189"/>
      <c r="F71" s="189"/>
      <c r="G71" s="189"/>
      <c r="H71" s="189"/>
      <c r="I71" s="189"/>
      <c r="J71" s="189"/>
      <c r="K71" s="189"/>
      <c r="L71" s="189"/>
      <c r="M71" s="209"/>
      <c r="N71" s="210"/>
      <c r="O71" s="210"/>
      <c r="P71" s="210"/>
      <c r="Q71" s="210"/>
      <c r="R71" s="211"/>
      <c r="S71" s="141"/>
      <c r="T71" s="127"/>
      <c r="Y71" s="38">
        <f>IF(AA79=2,"","12")</f>
        <v>0</v>
      </c>
      <c r="AA71" s="38">
        <v>7</v>
      </c>
      <c r="AB71" s="38" t="s">
        <v>217</v>
      </c>
      <c r="AC71" s="218" t="s">
        <v>296</v>
      </c>
      <c r="BJ71" s="38">
        <v>8</v>
      </c>
      <c r="BK71" s="38" t="s">
        <v>297</v>
      </c>
      <c r="BM71" s="38">
        <f>ROUND('Annexure -I'!C7/2,0.1)</f>
        <v>28435</v>
      </c>
      <c r="BN71" s="38">
        <f>ROUND('Annexure -I'!D7/2,0.1)</f>
        <v>2533</v>
      </c>
      <c r="BO71" s="38">
        <f>ROUND('Annexure -I'!E7/2,0.1)</f>
        <v>3412</v>
      </c>
      <c r="BP71" s="38">
        <v>0</v>
      </c>
      <c r="BQ71" s="38">
        <f>ROUND('Annexure -I'!H7/2,0.1)</f>
        <v>0</v>
      </c>
      <c r="BR71" s="38">
        <f>ROUND('Annexure -I'!I7/2,0.1)</f>
        <v>0</v>
      </c>
      <c r="BS71" s="38">
        <v>0</v>
      </c>
      <c r="BT71" s="38">
        <f>ROUND('Annexure -I'!L7/2,0.1)</f>
        <v>0</v>
      </c>
      <c r="BU71" s="38">
        <v>0</v>
      </c>
      <c r="BV71" s="38">
        <f t="shared" si="10"/>
        <v>34380</v>
      </c>
    </row>
    <row r="72" spans="1:74" ht="39.75" customHeight="1" hidden="1">
      <c r="A72" s="38"/>
      <c r="B72" s="189"/>
      <c r="C72" s="189"/>
      <c r="D72" s="189"/>
      <c r="E72" s="189"/>
      <c r="F72" s="189"/>
      <c r="G72" s="189"/>
      <c r="H72" s="189"/>
      <c r="I72" s="189"/>
      <c r="J72" s="189"/>
      <c r="K72" s="189"/>
      <c r="L72" s="189"/>
      <c r="M72" s="209"/>
      <c r="N72" s="210" t="s">
        <v>298</v>
      </c>
      <c r="O72" s="210"/>
      <c r="P72" s="210"/>
      <c r="Q72" s="210"/>
      <c r="R72" s="211">
        <v>200000</v>
      </c>
      <c r="S72" s="141">
        <f>M23</f>
        <v>0</v>
      </c>
      <c r="T72" s="219">
        <f>MIN(R72,S72)</f>
        <v>0</v>
      </c>
      <c r="Y72" s="38">
        <f>IF(AA79=2,"","13")</f>
        <v>0</v>
      </c>
      <c r="AA72" s="38">
        <v>8</v>
      </c>
      <c r="AB72" s="38" t="s">
        <v>245</v>
      </c>
      <c r="AC72" s="218" t="s">
        <v>299</v>
      </c>
      <c r="BJ72" s="38">
        <v>9</v>
      </c>
      <c r="BK72" s="38" t="s">
        <v>300</v>
      </c>
      <c r="BM72" s="38">
        <f>'Annexure -I'!C7</f>
        <v>56870</v>
      </c>
      <c r="BN72" s="38">
        <f>'Annexure -I'!D7</f>
        <v>5066</v>
      </c>
      <c r="BO72" s="38">
        <f>'Annexure -I'!E7</f>
        <v>6824</v>
      </c>
      <c r="BP72" s="38">
        <v>0</v>
      </c>
      <c r="BQ72" s="38">
        <f>'Annexure -I'!H7</f>
        <v>0</v>
      </c>
      <c r="BR72" s="38">
        <f>'Annexure -I'!I7</f>
        <v>0</v>
      </c>
      <c r="BS72" s="38">
        <v>0</v>
      </c>
      <c r="BT72" s="38">
        <f>'Annexure -I'!L7</f>
        <v>0</v>
      </c>
      <c r="BU72" s="38">
        <v>0</v>
      </c>
      <c r="BV72" s="38">
        <f t="shared" si="10"/>
        <v>68760</v>
      </c>
    </row>
    <row r="73" spans="1:74" ht="39.75" customHeight="1" hidden="1">
      <c r="A73" s="38"/>
      <c r="B73" s="189"/>
      <c r="C73" s="189"/>
      <c r="D73" s="189"/>
      <c r="E73" s="189"/>
      <c r="F73" s="189"/>
      <c r="G73" s="189"/>
      <c r="H73" s="189"/>
      <c r="I73" s="189"/>
      <c r="J73" s="189"/>
      <c r="K73" s="189"/>
      <c r="L73" s="189"/>
      <c r="M73" s="209"/>
      <c r="N73" s="210"/>
      <c r="O73" s="210"/>
      <c r="P73" s="210"/>
      <c r="Q73" s="210"/>
      <c r="R73" s="211"/>
      <c r="S73" s="141"/>
      <c r="T73" s="219"/>
      <c r="Y73" s="38">
        <f>IF(AA79=2,"","14")</f>
        <v>0</v>
      </c>
      <c r="AA73" s="38">
        <v>9</v>
      </c>
      <c r="AB73" s="38" t="s">
        <v>224</v>
      </c>
      <c r="AC73" s="218" t="s">
        <v>301</v>
      </c>
      <c r="BJ73" s="38">
        <v>10</v>
      </c>
      <c r="BK73" s="38" t="s">
        <v>302</v>
      </c>
      <c r="BM73" s="38">
        <f>ROUND('Annexure -I'!C8/2,0.1)</f>
        <v>28435</v>
      </c>
      <c r="BN73" s="38">
        <f>ROUND('Annexure -I'!D8/2,0.1)</f>
        <v>2533</v>
      </c>
      <c r="BO73" s="38">
        <f>ROUND('Annexure -I'!E8/2,0.1)</f>
        <v>3412</v>
      </c>
      <c r="BP73" s="38">
        <v>0</v>
      </c>
      <c r="BQ73" s="38">
        <f>ROUND('Annexure -I'!H8/2,0.1)</f>
        <v>0</v>
      </c>
      <c r="BR73" s="38">
        <f>ROUND('Annexure -I'!I8/2,0.1)</f>
        <v>0</v>
      </c>
      <c r="BS73" s="38">
        <v>0</v>
      </c>
      <c r="BT73" s="38">
        <f>ROUND('Annexure -I'!L8/2,0.1)</f>
        <v>0</v>
      </c>
      <c r="BU73" s="38">
        <v>0</v>
      </c>
      <c r="BV73" s="38">
        <f t="shared" si="10"/>
        <v>34380</v>
      </c>
    </row>
    <row r="74" spans="1:74" ht="39.75" customHeight="1" hidden="1">
      <c r="A74" s="38"/>
      <c r="B74" s="189"/>
      <c r="C74" s="189"/>
      <c r="D74" s="189"/>
      <c r="E74" s="189"/>
      <c r="F74" s="189"/>
      <c r="G74" s="189"/>
      <c r="H74" s="189"/>
      <c r="I74" s="189"/>
      <c r="J74" s="189"/>
      <c r="K74" s="189"/>
      <c r="L74" s="189"/>
      <c r="M74" s="189">
        <v>1</v>
      </c>
      <c r="N74" s="210">
        <f>VLOOKUP(M74,M78:N80,2,0)</f>
        <v>0</v>
      </c>
      <c r="O74" s="210"/>
      <c r="P74" s="210"/>
      <c r="Q74" s="210"/>
      <c r="R74" s="211">
        <f>IF(M74=1,0,IF(M74=2,75000,125000))</f>
        <v>0</v>
      </c>
      <c r="S74" s="220">
        <f>R74</f>
        <v>0</v>
      </c>
      <c r="T74" s="219">
        <f aca="true" t="shared" si="11" ref="T74:T75">MIN(R74,S74)</f>
        <v>0</v>
      </c>
      <c r="Y74" s="38">
        <f>IF(AA79=2,"","15")</f>
        <v>0</v>
      </c>
      <c r="AA74" s="38">
        <v>10</v>
      </c>
      <c r="AB74" s="38" t="s">
        <v>227</v>
      </c>
      <c r="AC74" s="218" t="s">
        <v>303</v>
      </c>
      <c r="BJ74" s="38">
        <v>11</v>
      </c>
      <c r="BK74" s="38" t="s">
        <v>304</v>
      </c>
      <c r="BM74" s="38">
        <f>'Annexure -I'!C8</f>
        <v>56870</v>
      </c>
      <c r="BN74" s="38">
        <f>'Annexure -I'!D8</f>
        <v>5066</v>
      </c>
      <c r="BO74" s="38">
        <f>'Annexure -I'!E8</f>
        <v>6824</v>
      </c>
      <c r="BP74" s="38">
        <v>0</v>
      </c>
      <c r="BQ74" s="38">
        <f>'Annexure -I'!H8</f>
        <v>0</v>
      </c>
      <c r="BR74" s="38">
        <f>'Annexure -I'!I8</f>
        <v>0</v>
      </c>
      <c r="BS74" s="38">
        <v>0</v>
      </c>
      <c r="BT74" s="38">
        <f>'Annexure -I'!L8</f>
        <v>0</v>
      </c>
      <c r="BU74" s="38">
        <v>0</v>
      </c>
      <c r="BV74" s="38">
        <f t="shared" si="10"/>
        <v>68760</v>
      </c>
    </row>
    <row r="75" spans="1:74" ht="39.75" customHeight="1" hidden="1">
      <c r="A75" s="38"/>
      <c r="B75" s="189"/>
      <c r="C75" s="189"/>
      <c r="D75" s="189"/>
      <c r="E75" s="189"/>
      <c r="F75" s="189"/>
      <c r="G75" s="189"/>
      <c r="H75" s="189"/>
      <c r="I75" s="189"/>
      <c r="J75" s="189"/>
      <c r="K75" s="189"/>
      <c r="L75" s="189"/>
      <c r="M75" s="221">
        <v>2</v>
      </c>
      <c r="N75" s="222">
        <f>VLOOKUP(M75,M76:N77,2,0)</f>
        <v>0</v>
      </c>
      <c r="O75" s="222"/>
      <c r="P75" s="222"/>
      <c r="Q75" s="222"/>
      <c r="R75" s="223">
        <f>IF(AC59=2,0,VLOOKUP(M75,M76:R77,6,0))</f>
        <v>0</v>
      </c>
      <c r="S75" s="200">
        <f>M25</f>
        <v>0</v>
      </c>
      <c r="T75" s="224">
        <f t="shared" si="11"/>
        <v>0</v>
      </c>
      <c r="Y75" s="38">
        <f>IF(AA79=2,"","16")</f>
        <v>0</v>
      </c>
      <c r="AA75" s="38">
        <v>11</v>
      </c>
      <c r="AB75" s="38" t="s">
        <v>231</v>
      </c>
      <c r="AC75" s="218" t="s">
        <v>305</v>
      </c>
      <c r="BJ75" s="38">
        <v>12</v>
      </c>
      <c r="BK75" s="38" t="s">
        <v>306</v>
      </c>
      <c r="BM75" s="38">
        <f>ROUND('Annexure -I'!C9/2,0.1)</f>
        <v>28435</v>
      </c>
      <c r="BN75" s="38">
        <f>ROUND('Annexure -I'!D9/2,0.1)</f>
        <v>2533</v>
      </c>
      <c r="BO75" s="38">
        <f>ROUND('Annexure -I'!E9/2,0.1)</f>
        <v>3412</v>
      </c>
      <c r="BP75" s="38">
        <v>0</v>
      </c>
      <c r="BQ75" s="38">
        <f>ROUND('Annexure -I'!H9/2,0.1)</f>
        <v>0</v>
      </c>
      <c r="BR75" s="38">
        <f>ROUND('Annexure -I'!I9/2,0.1)</f>
        <v>0</v>
      </c>
      <c r="BS75" s="38">
        <v>0</v>
      </c>
      <c r="BT75" s="38">
        <f>ROUND('Annexure -I'!L9/2,0.1)</f>
        <v>0</v>
      </c>
      <c r="BU75" s="38">
        <v>0</v>
      </c>
      <c r="BV75" s="38">
        <f t="shared" si="10"/>
        <v>34380</v>
      </c>
    </row>
    <row r="76" spans="1:74" ht="39.75" customHeight="1" hidden="1">
      <c r="A76" s="38"/>
      <c r="B76" s="189"/>
      <c r="C76" s="189"/>
      <c r="D76" s="189"/>
      <c r="E76" s="189"/>
      <c r="F76" s="189"/>
      <c r="G76" s="189"/>
      <c r="H76" s="189"/>
      <c r="I76" s="189"/>
      <c r="J76" s="189"/>
      <c r="K76" s="189"/>
      <c r="L76" s="189"/>
      <c r="M76" s="225">
        <v>1</v>
      </c>
      <c r="N76" s="226">
        <f>IF($AC$59=1,"Maintaince for Below 80% disabled Employee U/s 80U","")</f>
        <v>0</v>
      </c>
      <c r="O76" s="226"/>
      <c r="P76" s="226"/>
      <c r="Q76" s="226"/>
      <c r="R76" s="227">
        <v>75000</v>
      </c>
      <c r="Y76" s="38">
        <f>IF(AA79=2,"","17")</f>
        <v>0</v>
      </c>
      <c r="AA76" s="38">
        <v>12</v>
      </c>
      <c r="AB76" s="38" t="s">
        <v>234</v>
      </c>
      <c r="AC76" s="218" t="s">
        <v>307</v>
      </c>
      <c r="BJ76" s="38">
        <v>13</v>
      </c>
      <c r="BK76" s="38" t="s">
        <v>308</v>
      </c>
      <c r="BM76" s="38">
        <f>'Annexure -I'!C9</f>
        <v>56870</v>
      </c>
      <c r="BN76" s="38">
        <f>'Annexure -I'!D9</f>
        <v>5066</v>
      </c>
      <c r="BO76" s="38">
        <f>'Annexure -I'!E9</f>
        <v>6824</v>
      </c>
      <c r="BP76" s="38">
        <v>0</v>
      </c>
      <c r="BQ76" s="38">
        <f>'Annexure -I'!H9</f>
        <v>0</v>
      </c>
      <c r="BR76" s="38">
        <f>'Annexure -I'!I9</f>
        <v>0</v>
      </c>
      <c r="BS76" s="38">
        <v>0</v>
      </c>
      <c r="BT76" s="38">
        <f>'Annexure -I'!L9</f>
        <v>0</v>
      </c>
      <c r="BU76" s="38">
        <v>0</v>
      </c>
      <c r="BV76" s="38">
        <f t="shared" si="10"/>
        <v>68760</v>
      </c>
    </row>
    <row r="77" spans="1:74" ht="39.75" customHeight="1" hidden="1">
      <c r="A77" s="38"/>
      <c r="B77" s="189"/>
      <c r="C77" s="189"/>
      <c r="D77" s="189"/>
      <c r="E77" s="189"/>
      <c r="F77" s="189"/>
      <c r="G77" s="189"/>
      <c r="H77" s="189"/>
      <c r="I77" s="189"/>
      <c r="J77" s="189"/>
      <c r="K77" s="189"/>
      <c r="L77" s="189"/>
      <c r="M77" s="228">
        <v>2</v>
      </c>
      <c r="N77" s="226">
        <f>IF($AC$59=1,"Maintaince for 80% and above disabled Employee U/s 80U","")</f>
        <v>0</v>
      </c>
      <c r="O77" s="229"/>
      <c r="P77" s="229"/>
      <c r="Q77" s="229"/>
      <c r="R77" s="229">
        <v>125000</v>
      </c>
      <c r="Y77" s="38">
        <f>IF(AA79=2,"","18")</f>
        <v>0</v>
      </c>
      <c r="AA77" s="38">
        <v>13</v>
      </c>
      <c r="AB77" s="38" t="s">
        <v>255</v>
      </c>
      <c r="AC77" s="218" t="s">
        <v>309</v>
      </c>
      <c r="BJ77" s="38">
        <v>14</v>
      </c>
      <c r="BK77" s="38" t="s">
        <v>310</v>
      </c>
      <c r="BM77" s="38">
        <f>ROUND('Annexure -I'!C10/2,0.1)</f>
        <v>28435</v>
      </c>
      <c r="BN77" s="38">
        <f>ROUND('Annexure -I'!D10/2,0.1)</f>
        <v>3427</v>
      </c>
      <c r="BO77" s="38">
        <f>ROUND('Annexure -I'!E10/2,0.1)</f>
        <v>3412</v>
      </c>
      <c r="BP77" s="38">
        <v>0</v>
      </c>
      <c r="BQ77" s="38">
        <f>ROUND('Annexure -I'!H10/2,0.1)</f>
        <v>0</v>
      </c>
      <c r="BR77" s="38">
        <f>ROUND('Annexure -I'!I10/2,0.1)</f>
        <v>0</v>
      </c>
      <c r="BS77" s="38">
        <v>0</v>
      </c>
      <c r="BT77" s="38">
        <f>ROUND('Annexure -I'!L10/2,0.1)</f>
        <v>0</v>
      </c>
      <c r="BU77" s="38">
        <v>0</v>
      </c>
      <c r="BV77" s="38">
        <f t="shared" si="10"/>
        <v>35274</v>
      </c>
    </row>
    <row r="78" spans="1:74" ht="39.75" customHeight="1" hidden="1">
      <c r="A78" s="38"/>
      <c r="B78" s="189"/>
      <c r="C78" s="189"/>
      <c r="D78" s="189"/>
      <c r="E78" s="189"/>
      <c r="F78" s="189"/>
      <c r="G78" s="189"/>
      <c r="H78" s="189"/>
      <c r="I78" s="189"/>
      <c r="J78" s="189"/>
      <c r="K78" s="189"/>
      <c r="L78" s="189"/>
      <c r="M78" s="230">
        <v>1</v>
      </c>
      <c r="N78" s="231" t="s">
        <v>311</v>
      </c>
      <c r="O78" s="231"/>
      <c r="P78" s="231"/>
      <c r="Q78" s="231"/>
      <c r="R78" s="231"/>
      <c r="S78" s="231"/>
      <c r="T78" s="231"/>
      <c r="Y78" s="38">
        <f>IF(AA79=2,"","19")</f>
        <v>0</v>
      </c>
      <c r="BJ78" s="38">
        <v>15</v>
      </c>
      <c r="BK78" s="38" t="s">
        <v>312</v>
      </c>
      <c r="BM78" s="38">
        <f>'Annexure -I'!C10</f>
        <v>56870</v>
      </c>
      <c r="BN78" s="38">
        <f>'Annexure -I'!D10</f>
        <v>6854</v>
      </c>
      <c r="BO78" s="38">
        <f>'Annexure -I'!E10</f>
        <v>6824</v>
      </c>
      <c r="BP78" s="38">
        <v>0</v>
      </c>
      <c r="BQ78" s="38">
        <f>'Annexure -I'!H10</f>
        <v>0</v>
      </c>
      <c r="BR78" s="38">
        <f>'Annexure -I'!I10</f>
        <v>0</v>
      </c>
      <c r="BS78" s="38">
        <v>0</v>
      </c>
      <c r="BT78" s="38">
        <f>'Annexure -I'!L10</f>
        <v>0</v>
      </c>
      <c r="BU78" s="38">
        <v>0</v>
      </c>
      <c r="BV78" s="38">
        <f t="shared" si="10"/>
        <v>70548</v>
      </c>
    </row>
    <row r="79" spans="1:74" ht="39.75" customHeight="1" hidden="1">
      <c r="A79" s="38"/>
      <c r="B79" s="189"/>
      <c r="C79" s="189"/>
      <c r="D79" s="189"/>
      <c r="E79" s="189"/>
      <c r="F79" s="189"/>
      <c r="G79" s="189"/>
      <c r="H79" s="189">
        <f>CONCATENATE("Living in : ",N81)</f>
        <v>0</v>
      </c>
      <c r="I79" s="189"/>
      <c r="J79" s="189"/>
      <c r="K79" s="189"/>
      <c r="L79" s="189"/>
      <c r="M79" s="230">
        <v>2</v>
      </c>
      <c r="N79" s="231" t="s">
        <v>313</v>
      </c>
      <c r="O79" s="230"/>
      <c r="P79" s="230"/>
      <c r="Q79" s="230"/>
      <c r="R79" s="230"/>
      <c r="S79" s="230"/>
      <c r="T79" s="230"/>
      <c r="Y79" s="38">
        <f>IF(AA79=2,"","20")</f>
        <v>0</v>
      </c>
      <c r="AA79" s="232">
        <f>AA59</f>
        <v>2</v>
      </c>
      <c r="BJ79" s="38">
        <v>16</v>
      </c>
      <c r="BK79" s="38" t="s">
        <v>314</v>
      </c>
      <c r="BM79" s="38">
        <f>ROUND('Annexure -I'!C11/2,0.1)</f>
        <v>29165</v>
      </c>
      <c r="BN79" s="38">
        <f>ROUND('Annexure -I'!D11/2,0.1)</f>
        <v>3515</v>
      </c>
      <c r="BO79" s="38">
        <f>ROUND('Annexure -I'!E11/2,0.1)</f>
        <v>3500</v>
      </c>
      <c r="BP79" s="38">
        <v>0</v>
      </c>
      <c r="BQ79" s="38">
        <f>ROUND('Annexure -I'!H11/2,0.1)</f>
        <v>0</v>
      </c>
      <c r="BR79" s="38">
        <f>ROUND('Annexure -I'!I11/2,0.1)</f>
        <v>0</v>
      </c>
      <c r="BS79" s="38">
        <v>0</v>
      </c>
      <c r="BT79" s="38">
        <f>ROUND('Annexure -I'!L11/2,0.1)</f>
        <v>0</v>
      </c>
      <c r="BU79" s="38">
        <v>0</v>
      </c>
      <c r="BV79" s="38">
        <f t="shared" si="10"/>
        <v>36180</v>
      </c>
    </row>
    <row r="80" spans="1:74" ht="39.75" customHeight="1" hidden="1">
      <c r="A80" s="38"/>
      <c r="B80" s="189"/>
      <c r="C80" s="189"/>
      <c r="D80" s="189"/>
      <c r="E80" s="189"/>
      <c r="F80" s="189"/>
      <c r="G80" s="189"/>
      <c r="H80" s="189"/>
      <c r="I80" s="189"/>
      <c r="J80" s="189"/>
      <c r="K80" s="189"/>
      <c r="L80" s="189"/>
      <c r="M80" s="230">
        <v>3</v>
      </c>
      <c r="N80" s="231" t="s">
        <v>315</v>
      </c>
      <c r="O80" s="230"/>
      <c r="P80" s="230"/>
      <c r="Q80" s="230"/>
      <c r="R80" s="230"/>
      <c r="S80" s="230"/>
      <c r="T80" s="230"/>
      <c r="Y80" s="38">
        <f>IF(AA79=2,"","21")</f>
        <v>0</v>
      </c>
      <c r="Z80" s="38">
        <v>1</v>
      </c>
      <c r="AA80" s="38" t="s">
        <v>137</v>
      </c>
      <c r="AB80" s="38">
        <f>IF(AA79=2,"","March,15")</f>
        <v>0</v>
      </c>
      <c r="AC80" s="38">
        <v>31</v>
      </c>
      <c r="BJ80" s="38">
        <v>17</v>
      </c>
      <c r="BK80" s="38" t="s">
        <v>316</v>
      </c>
      <c r="BM80" s="38">
        <f>'Annexure -I'!C11</f>
        <v>58330</v>
      </c>
      <c r="BN80" s="38">
        <f>'Annexure -I'!D11</f>
        <v>7030</v>
      </c>
      <c r="BO80" s="38">
        <f>'Annexure -I'!E11</f>
        <v>7000</v>
      </c>
      <c r="BP80" s="38">
        <v>0</v>
      </c>
      <c r="BQ80" s="38">
        <f>'Annexure -I'!H11</f>
        <v>0</v>
      </c>
      <c r="BR80" s="38">
        <f>'Annexure -I'!I11</f>
        <v>0</v>
      </c>
      <c r="BS80" s="38">
        <v>0</v>
      </c>
      <c r="BT80" s="38">
        <f>'Annexure -I'!L11</f>
        <v>0</v>
      </c>
      <c r="BU80" s="38">
        <v>0</v>
      </c>
      <c r="BV80" s="38">
        <f t="shared" si="10"/>
        <v>72360</v>
      </c>
    </row>
    <row r="81" spans="1:74" ht="39.75" customHeight="1" hidden="1">
      <c r="A81" s="38"/>
      <c r="B81" s="189"/>
      <c r="C81" s="189"/>
      <c r="D81" s="189"/>
      <c r="E81" s="189"/>
      <c r="F81" s="189"/>
      <c r="G81" s="189"/>
      <c r="H81" s="189"/>
      <c r="I81" s="189"/>
      <c r="J81" s="189"/>
      <c r="K81" s="189"/>
      <c r="L81" s="189"/>
      <c r="M81" s="189">
        <v>2</v>
      </c>
      <c r="N81" s="38">
        <f>VLOOKUP(M81,M82:N83,2,)</f>
        <v>0</v>
      </c>
      <c r="O81" s="38"/>
      <c r="P81" s="38">
        <f>VLOOKUP(M81,M82:P83,4,0)</f>
        <v>0</v>
      </c>
      <c r="Y81" s="38">
        <f>IF(AA79=2,"","22")</f>
        <v>0</v>
      </c>
      <c r="Z81" s="38">
        <v>2</v>
      </c>
      <c r="AA81" s="233">
        <v>8</v>
      </c>
      <c r="AB81" s="38">
        <f>IF(AA79=2,"","April,15")</f>
        <v>0</v>
      </c>
      <c r="AC81" s="38">
        <v>30</v>
      </c>
      <c r="BJ81" s="38">
        <v>18</v>
      </c>
      <c r="BK81" s="38" t="s">
        <v>317</v>
      </c>
      <c r="BM81" s="38">
        <f>ROUND('Annexure -I'!C12/2,0.1)</f>
        <v>29165</v>
      </c>
      <c r="BN81" s="38">
        <f>ROUND('Annexure -I'!D12/2,0.1)</f>
        <v>3515</v>
      </c>
      <c r="BO81" s="38">
        <f>ROUND('Annexure -I'!E12/2,0.1)</f>
        <v>3500</v>
      </c>
      <c r="BP81" s="38">
        <v>0</v>
      </c>
      <c r="BQ81" s="38">
        <f>ROUND('Annexure -I'!H12/2,0.1)</f>
        <v>0</v>
      </c>
      <c r="BR81" s="38">
        <f>ROUND('Annexure -I'!I12/2,0.1)</f>
        <v>0</v>
      </c>
      <c r="BS81" s="38">
        <v>0</v>
      </c>
      <c r="BT81" s="38">
        <f>ROUND('Annexure -I'!L12/2,0.1)</f>
        <v>0</v>
      </c>
      <c r="BU81" s="38">
        <v>0</v>
      </c>
      <c r="BV81" s="38">
        <f t="shared" si="10"/>
        <v>36180</v>
      </c>
    </row>
    <row r="82" spans="1:74" ht="39.75" customHeight="1" hidden="1">
      <c r="A82" s="38"/>
      <c r="B82" s="189"/>
      <c r="C82" s="189"/>
      <c r="D82" s="189"/>
      <c r="E82" s="189"/>
      <c r="F82" s="189"/>
      <c r="G82" s="189"/>
      <c r="H82" s="189"/>
      <c r="I82" s="189"/>
      <c r="J82" s="189"/>
      <c r="K82" s="189"/>
      <c r="L82" s="189"/>
      <c r="M82" s="189">
        <v>1</v>
      </c>
      <c r="N82" s="38" t="s">
        <v>318</v>
      </c>
      <c r="O82" s="38"/>
      <c r="P82" s="38" t="s">
        <v>319</v>
      </c>
      <c r="Y82" s="38">
        <f>IF(AA79=2,"","23")</f>
        <v>0</v>
      </c>
      <c r="Z82" s="38">
        <v>3</v>
      </c>
      <c r="AA82" s="38">
        <f>VLOOKUP(AA81+1,AA65:AB76,2,0)</f>
        <v>0</v>
      </c>
      <c r="AB82" s="38">
        <f>IF(AA79=2,"","May,15")</f>
        <v>0</v>
      </c>
      <c r="AC82" s="38">
        <v>31</v>
      </c>
      <c r="AN82" s="37"/>
      <c r="AO82" s="37"/>
      <c r="AP82" s="37"/>
      <c r="AQ82" s="37"/>
      <c r="AR82" s="37"/>
      <c r="AS82" s="37"/>
      <c r="AT82" s="37"/>
      <c r="BJ82" s="38">
        <v>19</v>
      </c>
      <c r="BK82" s="38" t="s">
        <v>320</v>
      </c>
      <c r="BM82" s="38">
        <f>'Annexure -I'!C12</f>
        <v>58330</v>
      </c>
      <c r="BN82" s="38">
        <f>'Annexure -I'!D12</f>
        <v>7030</v>
      </c>
      <c r="BO82" s="38">
        <f>'Annexure -I'!E12</f>
        <v>7000</v>
      </c>
      <c r="BP82" s="38">
        <v>0</v>
      </c>
      <c r="BQ82" s="38">
        <f>'Annexure -I'!H12</f>
        <v>0</v>
      </c>
      <c r="BR82" s="38">
        <f>'Annexure -I'!I12</f>
        <v>0</v>
      </c>
      <c r="BS82" s="38">
        <v>0</v>
      </c>
      <c r="BT82" s="38">
        <f>'Annexure -I'!L12</f>
        <v>0</v>
      </c>
      <c r="BU82" s="38">
        <v>0</v>
      </c>
      <c r="BV82" s="38">
        <f t="shared" si="10"/>
        <v>72360</v>
      </c>
    </row>
    <row r="83" spans="1:74" ht="39.75" customHeight="1" hidden="1">
      <c r="A83" s="38"/>
      <c r="B83" s="189"/>
      <c r="C83" s="189"/>
      <c r="D83" s="189"/>
      <c r="E83" s="189"/>
      <c r="F83" s="189"/>
      <c r="G83" s="189"/>
      <c r="H83" s="189"/>
      <c r="I83" s="189"/>
      <c r="J83" s="189"/>
      <c r="K83" s="189"/>
      <c r="L83" s="189"/>
      <c r="M83" s="189">
        <v>2</v>
      </c>
      <c r="N83" s="38" t="s">
        <v>321</v>
      </c>
      <c r="O83" s="38"/>
      <c r="P83" s="234">
        <f>CONCATENATE("To get HRA Exemption, your Rent will be Rs. ",P91)</f>
        <v>0</v>
      </c>
      <c r="Y83" s="38">
        <f>IF(AA79=2,"","24")</f>
        <v>0</v>
      </c>
      <c r="Z83" s="38">
        <v>4</v>
      </c>
      <c r="AB83" s="38">
        <f>IF(AA79=2,"","June,15")</f>
        <v>0</v>
      </c>
      <c r="AC83" s="38">
        <v>30</v>
      </c>
      <c r="AN83" s="37"/>
      <c r="AO83" s="37"/>
      <c r="AP83" s="37"/>
      <c r="AQ83" s="37"/>
      <c r="AR83" s="37"/>
      <c r="AS83" s="37"/>
      <c r="AT83" s="37"/>
      <c r="BJ83" s="38">
        <v>20</v>
      </c>
      <c r="BK83" s="38" t="s">
        <v>322</v>
      </c>
      <c r="BM83" s="38">
        <f>ROUND('Annexure -I'!C13/2,0.1)</f>
        <v>29165</v>
      </c>
      <c r="BN83" s="38">
        <f>ROUND('Annexure -I'!D13/2,0.1)</f>
        <v>3515</v>
      </c>
      <c r="BO83" s="38">
        <f>ROUND('Annexure -I'!E13/2,0.1)</f>
        <v>3500</v>
      </c>
      <c r="BP83" s="38">
        <v>0</v>
      </c>
      <c r="BQ83" s="38">
        <f>ROUND('Annexure -I'!H13/2,0.1)</f>
        <v>0</v>
      </c>
      <c r="BR83" s="38">
        <f>ROUND('Annexure -I'!I13/2,0.1)</f>
        <v>0</v>
      </c>
      <c r="BS83" s="38">
        <v>0</v>
      </c>
      <c r="BT83" s="38">
        <f>ROUND('Annexure -I'!L13/2,0.1)</f>
        <v>0</v>
      </c>
      <c r="BU83" s="38">
        <v>0</v>
      </c>
      <c r="BV83" s="38">
        <f t="shared" si="10"/>
        <v>36180</v>
      </c>
    </row>
    <row r="84" spans="1:74" ht="39.75" customHeight="1" hidden="1">
      <c r="A84" s="38"/>
      <c r="B84" s="189"/>
      <c r="C84" s="189"/>
      <c r="D84" s="189"/>
      <c r="E84" s="189"/>
      <c r="F84" s="189"/>
      <c r="G84" s="189"/>
      <c r="H84" s="189"/>
      <c r="I84" s="189"/>
      <c r="J84" s="189"/>
      <c r="K84" s="189"/>
      <c r="L84" s="189"/>
      <c r="M84" s="189"/>
      <c r="N84" s="38"/>
      <c r="O84" s="38"/>
      <c r="P84" s="38"/>
      <c r="Y84" s="38">
        <f>IF(AA79=2,"","25")</f>
        <v>0</v>
      </c>
      <c r="Z84" s="38">
        <v>5</v>
      </c>
      <c r="AB84" s="38">
        <f>IF(AA79=2,"","July,15")</f>
        <v>0</v>
      </c>
      <c r="AC84" s="38">
        <v>31</v>
      </c>
      <c r="BJ84" s="38">
        <v>21</v>
      </c>
      <c r="BK84" s="38" t="s">
        <v>323</v>
      </c>
      <c r="BM84" s="38">
        <f>'Annexure -I'!C13</f>
        <v>58330</v>
      </c>
      <c r="BN84" s="38">
        <f>'Annexure -I'!D13</f>
        <v>7030</v>
      </c>
      <c r="BO84" s="38">
        <f>'Annexure -I'!E13</f>
        <v>7000</v>
      </c>
      <c r="BP84" s="38">
        <v>0</v>
      </c>
      <c r="BQ84" s="38">
        <f>'Annexure -I'!H13</f>
        <v>0</v>
      </c>
      <c r="BR84" s="38">
        <f>'Annexure -I'!I13</f>
        <v>0</v>
      </c>
      <c r="BS84" s="38">
        <v>0</v>
      </c>
      <c r="BT84" s="38">
        <f>'Annexure -I'!L13</f>
        <v>0</v>
      </c>
      <c r="BU84" s="38">
        <v>0</v>
      </c>
      <c r="BV84" s="38">
        <f t="shared" si="10"/>
        <v>72360</v>
      </c>
    </row>
    <row r="85" spans="1:74" ht="39.75" customHeight="1" hidden="1">
      <c r="A85" s="38"/>
      <c r="B85" s="189"/>
      <c r="C85" s="189"/>
      <c r="D85" s="189"/>
      <c r="E85" s="189"/>
      <c r="F85" s="189"/>
      <c r="G85" s="189"/>
      <c r="H85" s="189"/>
      <c r="I85" s="189"/>
      <c r="J85" s="189"/>
      <c r="K85" s="189"/>
      <c r="L85" s="37"/>
      <c r="M85" s="189"/>
      <c r="N85" s="38"/>
      <c r="O85" s="38"/>
      <c r="P85" s="38" t="s">
        <v>174</v>
      </c>
      <c r="Q85" s="37"/>
      <c r="R85" s="38">
        <f>'Annexure -I'!E23</f>
        <v>82768</v>
      </c>
      <c r="Y85" s="38">
        <f>IF(AA79=2,"","26")</f>
        <v>0</v>
      </c>
      <c r="Z85" s="38">
        <v>6</v>
      </c>
      <c r="AB85" s="38">
        <f>IF(AA79=2,"","Aug,15")</f>
        <v>0</v>
      </c>
      <c r="AC85" s="38">
        <v>31</v>
      </c>
      <c r="AK85" s="233"/>
      <c r="AL85" s="233"/>
      <c r="AM85" s="233"/>
      <c r="AN85" s="233"/>
      <c r="AO85" s="233"/>
      <c r="AP85" s="233"/>
      <c r="AQ85" s="233"/>
      <c r="AR85" s="233"/>
      <c r="AS85" s="233"/>
      <c r="AT85" s="233"/>
      <c r="AU85" s="233"/>
      <c r="AV85" s="233"/>
      <c r="AW85" s="233"/>
      <c r="AX85" s="233"/>
      <c r="BJ85" s="38">
        <v>22</v>
      </c>
      <c r="BK85" s="38" t="s">
        <v>324</v>
      </c>
      <c r="BM85" s="38">
        <f>ROUND('Annexure -I'!C14/2,0.1)</f>
        <v>29165</v>
      </c>
      <c r="BN85" s="38">
        <f>ROUND('Annexure -I'!D14/2,0.1)</f>
        <v>3515</v>
      </c>
      <c r="BO85" s="38">
        <f>ROUND('Annexure -I'!E14/2,0.1)</f>
        <v>3500</v>
      </c>
      <c r="BP85" s="38">
        <v>0</v>
      </c>
      <c r="BQ85" s="38">
        <f>ROUND('Annexure -I'!H14/2,0.1)</f>
        <v>0</v>
      </c>
      <c r="BR85" s="38">
        <f>ROUND('Annexure -I'!I14/2,0.1)</f>
        <v>0</v>
      </c>
      <c r="BS85" s="38">
        <v>0</v>
      </c>
      <c r="BT85" s="38">
        <f>ROUND('Annexure -I'!L14/2,0.1)</f>
        <v>0</v>
      </c>
      <c r="BU85" s="38">
        <v>0</v>
      </c>
      <c r="BV85" s="38">
        <f t="shared" si="10"/>
        <v>36180</v>
      </c>
    </row>
    <row r="86" spans="1:74" ht="39.75" customHeight="1" hidden="1">
      <c r="A86" s="38"/>
      <c r="B86" s="189"/>
      <c r="C86" s="189"/>
      <c r="D86" s="189"/>
      <c r="E86" s="189"/>
      <c r="F86" s="189"/>
      <c r="G86" s="189"/>
      <c r="H86" s="189"/>
      <c r="I86" s="189"/>
      <c r="J86" s="189"/>
      <c r="K86" s="189"/>
      <c r="L86" s="189"/>
      <c r="M86" s="189"/>
      <c r="N86" s="38"/>
      <c r="O86" s="38"/>
      <c r="P86" s="38" t="s">
        <v>165</v>
      </c>
      <c r="Q86" s="37"/>
      <c r="R86" s="235">
        <f>'Annexure -I'!C23</f>
        <v>689740</v>
      </c>
      <c r="Y86" s="38">
        <f>IF(AA79=2,"","27")</f>
        <v>0</v>
      </c>
      <c r="Z86" s="38">
        <v>7</v>
      </c>
      <c r="AB86" s="38">
        <f>IF(AA79=2,"","Sept,15")</f>
        <v>0</v>
      </c>
      <c r="AC86" s="38">
        <v>30</v>
      </c>
      <c r="AK86" s="233"/>
      <c r="AL86" s="233"/>
      <c r="AM86" s="233"/>
      <c r="AN86" s="233"/>
      <c r="AO86" s="233"/>
      <c r="AP86" s="233"/>
      <c r="AQ86" s="233"/>
      <c r="AR86" s="233"/>
      <c r="AS86" s="233"/>
      <c r="AT86" s="233"/>
      <c r="AU86" s="233"/>
      <c r="AV86" s="233"/>
      <c r="AW86" s="233"/>
      <c r="AX86" s="233"/>
      <c r="BJ86" s="38">
        <v>23</v>
      </c>
      <c r="BK86" s="38" t="s">
        <v>325</v>
      </c>
      <c r="BM86" s="38">
        <f>'Annexure -I'!C14</f>
        <v>58330</v>
      </c>
      <c r="BN86" s="38">
        <f>'Annexure -I'!D14</f>
        <v>7030</v>
      </c>
      <c r="BO86" s="38">
        <f>'Annexure -I'!E14</f>
        <v>7000</v>
      </c>
      <c r="BP86" s="38">
        <v>0</v>
      </c>
      <c r="BQ86" s="38">
        <f>'Annexure -I'!H14</f>
        <v>0</v>
      </c>
      <c r="BR86" s="38">
        <f>'Annexure -I'!I14</f>
        <v>0</v>
      </c>
      <c r="BS86" s="38">
        <v>0</v>
      </c>
      <c r="BT86" s="38">
        <f>'Annexure -I'!L14</f>
        <v>0</v>
      </c>
      <c r="BU86" s="38">
        <v>0</v>
      </c>
      <c r="BV86" s="38">
        <f t="shared" si="10"/>
        <v>72360</v>
      </c>
    </row>
    <row r="87" spans="1:74" ht="39.75" customHeight="1" hidden="1">
      <c r="A87" s="38"/>
      <c r="B87" s="189"/>
      <c r="C87" s="189"/>
      <c r="D87" s="189"/>
      <c r="E87" s="189"/>
      <c r="F87" s="189"/>
      <c r="G87" s="189"/>
      <c r="H87" s="189"/>
      <c r="I87" s="189"/>
      <c r="J87" s="189"/>
      <c r="K87" s="189"/>
      <c r="L87" s="189"/>
      <c r="M87" s="189"/>
      <c r="N87" s="38"/>
      <c r="O87" s="38"/>
      <c r="P87" s="38" t="s">
        <v>171</v>
      </c>
      <c r="Q87" s="37"/>
      <c r="R87" s="236">
        <f>IF(N91=1,'Annexure -I'!D23,0)</f>
        <v>86704</v>
      </c>
      <c r="Y87" s="38">
        <f>IF(AA79=2,"","28")</f>
        <v>0</v>
      </c>
      <c r="Z87" s="38">
        <v>8</v>
      </c>
      <c r="AB87" s="38">
        <f>IF(AA79=2,"","Oct,15")</f>
        <v>0</v>
      </c>
      <c r="AC87" s="38">
        <v>31</v>
      </c>
      <c r="BJ87" s="38">
        <v>24</v>
      </c>
      <c r="BK87" s="38" t="s">
        <v>326</v>
      </c>
      <c r="BM87" s="38">
        <f>ROUND('Annexure -I'!C15/2,0.1)</f>
        <v>29165</v>
      </c>
      <c r="BN87" s="38">
        <f>ROUND('Annexure -I'!D15/2,0.1)</f>
        <v>3515</v>
      </c>
      <c r="BO87" s="38">
        <f>ROUND('Annexure -I'!E15/2,0.1)</f>
        <v>3500</v>
      </c>
      <c r="BP87" s="38">
        <v>0</v>
      </c>
      <c r="BQ87" s="38">
        <f>ROUND('Annexure -I'!H15/2,0.1)</f>
        <v>0</v>
      </c>
      <c r="BR87" s="38">
        <f>ROUND('Annexure -I'!I15/2,0.1)</f>
        <v>0</v>
      </c>
      <c r="BS87" s="38">
        <v>0</v>
      </c>
      <c r="BT87" s="38">
        <f>ROUND('Annexure -I'!L15/2,0.1)</f>
        <v>0</v>
      </c>
      <c r="BU87" s="38">
        <v>0</v>
      </c>
      <c r="BV87" s="38">
        <f t="shared" si="10"/>
        <v>36180</v>
      </c>
    </row>
    <row r="88" spans="1:74" ht="39.75" customHeight="1" hidden="1">
      <c r="A88" s="38"/>
      <c r="B88" s="189"/>
      <c r="C88" s="189"/>
      <c r="D88" s="189"/>
      <c r="E88" s="189"/>
      <c r="F88" s="189"/>
      <c r="G88" s="189"/>
      <c r="H88" s="189"/>
      <c r="I88" s="189"/>
      <c r="J88" s="189"/>
      <c r="K88" s="189"/>
      <c r="L88" s="189"/>
      <c r="M88" s="189"/>
      <c r="N88" s="38"/>
      <c r="O88" s="38"/>
      <c r="P88" s="38" t="s">
        <v>327</v>
      </c>
      <c r="Q88" s="37"/>
      <c r="R88" s="38">
        <f>SUM(R86:R87)</f>
        <v>776444</v>
      </c>
      <c r="Y88" s="38">
        <f>IF(AA79=2,"","29")</f>
        <v>0</v>
      </c>
      <c r="Z88" s="38">
        <v>9</v>
      </c>
      <c r="AB88" s="38">
        <f>IF(AA79=2,"","Nov,15")</f>
        <v>0</v>
      </c>
      <c r="AC88" s="38">
        <v>30</v>
      </c>
      <c r="BJ88" s="38">
        <v>25</v>
      </c>
      <c r="BK88" s="38" t="s">
        <v>328</v>
      </c>
      <c r="BM88" s="38">
        <f>'Annexure -I'!C15</f>
        <v>58330</v>
      </c>
      <c r="BN88" s="38">
        <f>'Annexure -I'!D15</f>
        <v>7030</v>
      </c>
      <c r="BO88" s="38">
        <f>'Annexure -I'!E15</f>
        <v>7000</v>
      </c>
      <c r="BP88" s="38">
        <v>0</v>
      </c>
      <c r="BQ88" s="38">
        <f>'Annexure -I'!H15</f>
        <v>0</v>
      </c>
      <c r="BR88" s="38">
        <f>'Annexure -I'!I15</f>
        <v>0</v>
      </c>
      <c r="BS88" s="38">
        <v>0</v>
      </c>
      <c r="BT88" s="38">
        <f>'Annexure -I'!L15</f>
        <v>0</v>
      </c>
      <c r="BU88" s="38">
        <v>0</v>
      </c>
      <c r="BV88" s="38">
        <f t="shared" si="10"/>
        <v>72360</v>
      </c>
    </row>
    <row r="89" spans="1:74" ht="39.75" customHeight="1" hidden="1">
      <c r="A89" s="38"/>
      <c r="B89" s="189"/>
      <c r="C89" s="189"/>
      <c r="D89" s="189"/>
      <c r="E89" s="189"/>
      <c r="F89" s="189"/>
      <c r="G89" s="189"/>
      <c r="H89" s="189"/>
      <c r="I89" s="189"/>
      <c r="J89" s="189"/>
      <c r="K89" s="189"/>
      <c r="L89" s="189"/>
      <c r="M89" s="189"/>
      <c r="N89" s="38"/>
      <c r="O89" s="38"/>
      <c r="P89" s="38"/>
      <c r="Q89" s="37"/>
      <c r="R89" s="237">
        <f>ROUND(R88*10%,0.1)</f>
        <v>77644</v>
      </c>
      <c r="Y89" s="38">
        <f>IF(AA79=2,"","30")</f>
        <v>0</v>
      </c>
      <c r="Z89" s="38">
        <v>10</v>
      </c>
      <c r="AB89" s="38">
        <f>IF(AA79=2,"","Dec,15")</f>
        <v>0</v>
      </c>
      <c r="AC89" s="38">
        <v>31</v>
      </c>
      <c r="AK89" s="38" t="s">
        <v>329</v>
      </c>
      <c r="BV89" s="38">
        <f t="shared" si="10"/>
        <v>0</v>
      </c>
    </row>
    <row r="90" spans="1:74" ht="39.75" customHeight="1" hidden="1">
      <c r="A90" s="38"/>
      <c r="B90" s="189"/>
      <c r="C90" s="189"/>
      <c r="D90" s="189"/>
      <c r="E90" s="189"/>
      <c r="F90" s="189"/>
      <c r="G90" s="189"/>
      <c r="H90" s="189"/>
      <c r="I90" s="189"/>
      <c r="J90" s="189"/>
      <c r="K90" s="189"/>
      <c r="L90" s="189"/>
      <c r="M90" s="189"/>
      <c r="N90" s="38"/>
      <c r="O90" s="38"/>
      <c r="P90" s="38"/>
      <c r="U90" s="238">
        <v>2</v>
      </c>
      <c r="V90" s="120" t="s">
        <v>144</v>
      </c>
      <c r="Y90" s="38">
        <f>IF(AA79=2,"","31")</f>
        <v>0</v>
      </c>
      <c r="Z90" s="38">
        <v>11</v>
      </c>
      <c r="AB90" s="38">
        <f>IF(AA79=2,"","Jan,16")</f>
        <v>0</v>
      </c>
      <c r="AC90" s="38">
        <v>31</v>
      </c>
      <c r="AM90" s="38" t="s">
        <v>330</v>
      </c>
      <c r="AN90" s="38" t="s">
        <v>331</v>
      </c>
      <c r="BM90" s="38">
        <f>VLOOKUP(BJ62,BJ64:BR88,4,0)</f>
        <v>58330</v>
      </c>
      <c r="BN90" s="38">
        <f>VLOOKUP(BJ62,BJ64:BR88,5,0)</f>
        <v>7030</v>
      </c>
      <c r="BO90" s="38">
        <f>VLOOKUP(BJ62,BJ64:BT88,6,0)</f>
        <v>7000</v>
      </c>
      <c r="BP90" s="38">
        <v>0</v>
      </c>
      <c r="BQ90" s="38">
        <f>VLOOKUP(BJ62,BJ64:BR88,8,0)</f>
        <v>0</v>
      </c>
      <c r="BR90" s="38">
        <f>VLOOKUP(BJ62,BJ64:BT88,9,0)</f>
        <v>0</v>
      </c>
      <c r="BS90" s="38">
        <v>0</v>
      </c>
      <c r="BT90" s="38">
        <f>VLOOKUP(BJ62,BJ64:BT88,11,0)</f>
        <v>0</v>
      </c>
      <c r="BU90" s="38">
        <v>0</v>
      </c>
      <c r="BV90" s="38">
        <f t="shared" si="10"/>
        <v>72360</v>
      </c>
    </row>
    <row r="91" spans="1:45" ht="39.75" customHeight="1" hidden="1">
      <c r="A91" s="38"/>
      <c r="B91" s="189"/>
      <c r="C91" s="189"/>
      <c r="D91" s="189"/>
      <c r="E91" s="189"/>
      <c r="F91" s="189"/>
      <c r="G91" s="189"/>
      <c r="H91" s="189"/>
      <c r="I91" s="189"/>
      <c r="J91" s="189"/>
      <c r="K91" s="189"/>
      <c r="L91" s="37"/>
      <c r="M91" s="189"/>
      <c r="N91" s="239">
        <v>1</v>
      </c>
      <c r="O91" s="38"/>
      <c r="P91" s="38">
        <f>ROUND((R85+R89)/12,-2)+100</f>
        <v>13500</v>
      </c>
      <c r="Q91" s="38">
        <f>IF(ROUND(Q92*12-R89,0.1)&gt;0,ROUND(Q92*12-R89,0.1),0)</f>
        <v>21956</v>
      </c>
      <c r="U91" s="139">
        <f>VLOOKUP(U90,AA60:AB61,2,0)</f>
        <v>0</v>
      </c>
      <c r="V91" s="140"/>
      <c r="Z91" s="38">
        <v>12</v>
      </c>
      <c r="AB91" s="38">
        <f>IF(AA79=2,"","Feb,16")</f>
        <v>0</v>
      </c>
      <c r="AC91" s="38">
        <v>28</v>
      </c>
      <c r="AK91" s="192" t="s">
        <v>332</v>
      </c>
      <c r="AL91" s="38">
        <f>AB181</f>
        <v>56870</v>
      </c>
      <c r="AM91" s="38">
        <f aca="true" t="shared" si="12" ref="AM91:AM101">ROUND(AL91*12.052/100,0.1)</f>
        <v>6854</v>
      </c>
      <c r="AN91" s="38">
        <f aca="true" t="shared" si="13" ref="AN91:AN101">ROUND(AL91*8.908/100,0.1)</f>
        <v>5066</v>
      </c>
      <c r="AO91" s="38">
        <f aca="true" t="shared" si="14" ref="AO91:AO101">AM91-AN91</f>
        <v>1788</v>
      </c>
      <c r="AQ91" s="38">
        <f aca="true" t="shared" si="15" ref="AQ91:AQ101">ROUND(AM91*10%,0.1)</f>
        <v>685</v>
      </c>
      <c r="AR91" s="38">
        <f aca="true" t="shared" si="16" ref="AR91:AR101">ROUND(AN91*10%,0.1)</f>
        <v>507</v>
      </c>
      <c r="AS91" s="38">
        <f aca="true" t="shared" si="17" ref="AS91:AS100">AQ91-AR91</f>
        <v>178</v>
      </c>
    </row>
    <row r="92" spans="1:45" ht="39.75" customHeight="1" hidden="1">
      <c r="A92" s="38"/>
      <c r="B92" s="189"/>
      <c r="C92" s="189"/>
      <c r="D92" s="189"/>
      <c r="E92" s="189"/>
      <c r="F92" s="189"/>
      <c r="G92" s="189"/>
      <c r="H92" s="189"/>
      <c r="I92" s="189"/>
      <c r="J92" s="189"/>
      <c r="K92" s="189"/>
      <c r="L92" s="189"/>
      <c r="M92" s="189"/>
      <c r="N92" s="38"/>
      <c r="O92" s="240" t="s">
        <v>333</v>
      </c>
      <c r="P92" s="240" t="s">
        <v>334</v>
      </c>
      <c r="Q92" s="241">
        <f>IF(M81=1,0,P20)</f>
        <v>8300</v>
      </c>
      <c r="R92" s="241" t="s">
        <v>335</v>
      </c>
      <c r="U92" s="119" t="s">
        <v>144</v>
      </c>
      <c r="V92" s="198"/>
      <c r="W92" s="198">
        <v>19</v>
      </c>
      <c r="X92" s="120"/>
      <c r="AD92" s="242">
        <v>3850</v>
      </c>
      <c r="AF92" s="243"/>
      <c r="AG92" s="243"/>
      <c r="AK92" s="192" t="s">
        <v>336</v>
      </c>
      <c r="AL92" s="38">
        <f>AB183</f>
        <v>56870</v>
      </c>
      <c r="AM92" s="38">
        <f t="shared" si="12"/>
        <v>6854</v>
      </c>
      <c r="AN92" s="38">
        <f t="shared" si="13"/>
        <v>5066</v>
      </c>
      <c r="AO92" s="38">
        <f t="shared" si="14"/>
        <v>1788</v>
      </c>
      <c r="AQ92" s="38">
        <f t="shared" si="15"/>
        <v>685</v>
      </c>
      <c r="AR92" s="38">
        <f t="shared" si="16"/>
        <v>507</v>
      </c>
      <c r="AS92" s="38">
        <f t="shared" si="17"/>
        <v>178</v>
      </c>
    </row>
    <row r="93" spans="1:45" ht="39.75" customHeight="1" hidden="1">
      <c r="A93" s="38"/>
      <c r="B93" s="189"/>
      <c r="C93" s="189"/>
      <c r="D93" s="189"/>
      <c r="E93" s="189"/>
      <c r="F93" s="189"/>
      <c r="G93" s="189"/>
      <c r="H93" s="189"/>
      <c r="I93" s="189"/>
      <c r="J93" s="189"/>
      <c r="K93" s="189"/>
      <c r="L93" s="189"/>
      <c r="M93" s="189"/>
      <c r="N93" s="38"/>
      <c r="O93" s="38">
        <f>CONCATENATE(O92,P92,Q92,R92)</f>
        <v>0</v>
      </c>
      <c r="P93" s="38"/>
      <c r="U93" s="126"/>
      <c r="V93" s="141"/>
      <c r="W93" s="141">
        <v>5</v>
      </c>
      <c r="X93" s="127"/>
      <c r="AA93" s="119">
        <v>1</v>
      </c>
      <c r="AB93" s="243">
        <v>13000</v>
      </c>
      <c r="AC93" s="244">
        <v>3850</v>
      </c>
      <c r="AD93" s="245">
        <v>3950</v>
      </c>
      <c r="AE93" s="243">
        <v>13000</v>
      </c>
      <c r="AF93" s="243">
        <v>13390</v>
      </c>
      <c r="AG93" s="243">
        <v>13780</v>
      </c>
      <c r="AK93" s="192">
        <f>IF(AJ92=4,"","March,15")</f>
        <v>0</v>
      </c>
      <c r="AL93" s="38">
        <f>'Annexure -I'!C4</f>
        <v>56870</v>
      </c>
      <c r="AM93" s="38">
        <f t="shared" si="12"/>
        <v>6854</v>
      </c>
      <c r="AN93" s="38">
        <f t="shared" si="13"/>
        <v>5066</v>
      </c>
      <c r="AO93" s="38">
        <f t="shared" si="14"/>
        <v>1788</v>
      </c>
      <c r="AQ93" s="38">
        <f t="shared" si="15"/>
        <v>685</v>
      </c>
      <c r="AR93" s="38">
        <f t="shared" si="16"/>
        <v>507</v>
      </c>
      <c r="AS93" s="38">
        <f t="shared" si="17"/>
        <v>178</v>
      </c>
    </row>
    <row r="94" spans="1:45" ht="39.75" customHeight="1" hidden="1">
      <c r="A94" s="38"/>
      <c r="B94" s="189"/>
      <c r="C94" s="189"/>
      <c r="D94" s="189"/>
      <c r="E94" s="189"/>
      <c r="F94" s="189"/>
      <c r="G94" s="189"/>
      <c r="H94" s="189"/>
      <c r="I94" s="189"/>
      <c r="J94" s="189"/>
      <c r="K94" s="189"/>
      <c r="L94" s="189"/>
      <c r="M94" s="189"/>
      <c r="N94" s="37"/>
      <c r="O94" s="37"/>
      <c r="Q94" s="37"/>
      <c r="R94" s="37"/>
      <c r="S94" s="37"/>
      <c r="U94" s="139"/>
      <c r="V94" s="200"/>
      <c r="W94" s="200">
        <f>VLOOKUP(W93+1,AA65:AB76,2,0)</f>
        <v>0</v>
      </c>
      <c r="X94" s="140"/>
      <c r="AA94" s="126">
        <v>2</v>
      </c>
      <c r="AB94" s="243">
        <v>13390</v>
      </c>
      <c r="AC94" s="246">
        <v>3950</v>
      </c>
      <c r="AD94" s="245">
        <v>4050</v>
      </c>
      <c r="AE94" s="243">
        <v>13390</v>
      </c>
      <c r="AF94" s="243">
        <v>13780</v>
      </c>
      <c r="AG94" s="247">
        <v>14170</v>
      </c>
      <c r="AK94" s="192">
        <f>IF(AJ92=4,"","April,15")</f>
        <v>0</v>
      </c>
      <c r="AL94" s="38">
        <f>'Annexure -I'!C5</f>
        <v>56870</v>
      </c>
      <c r="AM94" s="38">
        <f t="shared" si="12"/>
        <v>6854</v>
      </c>
      <c r="AN94" s="38">
        <f t="shared" si="13"/>
        <v>5066</v>
      </c>
      <c r="AO94" s="38">
        <f t="shared" si="14"/>
        <v>1788</v>
      </c>
      <c r="AQ94" s="38">
        <f t="shared" si="15"/>
        <v>685</v>
      </c>
      <c r="AR94" s="38">
        <f t="shared" si="16"/>
        <v>507</v>
      </c>
      <c r="AS94" s="38">
        <f t="shared" si="17"/>
        <v>178</v>
      </c>
    </row>
    <row r="95" spans="1:45" ht="39.75" customHeight="1" hidden="1">
      <c r="A95" s="38"/>
      <c r="B95" s="189"/>
      <c r="C95" s="189"/>
      <c r="D95" s="189"/>
      <c r="E95" s="189"/>
      <c r="F95" s="189"/>
      <c r="G95" s="189"/>
      <c r="H95" s="189"/>
      <c r="I95" s="189"/>
      <c r="J95" s="189"/>
      <c r="K95" s="189"/>
      <c r="L95" s="189"/>
      <c r="M95" s="189"/>
      <c r="N95" s="37"/>
      <c r="O95" s="37"/>
      <c r="Q95" s="37"/>
      <c r="R95" s="37"/>
      <c r="S95" s="37"/>
      <c r="AA95" s="126">
        <v>3</v>
      </c>
      <c r="AB95" s="243">
        <v>13780</v>
      </c>
      <c r="AC95" s="246">
        <v>4050</v>
      </c>
      <c r="AD95" s="245">
        <v>4150</v>
      </c>
      <c r="AE95" s="243">
        <v>13780</v>
      </c>
      <c r="AF95" s="247">
        <v>14170</v>
      </c>
      <c r="AG95" s="247">
        <v>14600</v>
      </c>
      <c r="AK95" s="192">
        <f>IF(AJ92=4,"","May,15")</f>
        <v>0</v>
      </c>
      <c r="AL95" s="38">
        <f>'Annexure -I'!C6</f>
        <v>56870</v>
      </c>
      <c r="AM95" s="38">
        <f t="shared" si="12"/>
        <v>6854</v>
      </c>
      <c r="AN95" s="38">
        <f t="shared" si="13"/>
        <v>5066</v>
      </c>
      <c r="AO95" s="38">
        <f t="shared" si="14"/>
        <v>1788</v>
      </c>
      <c r="AQ95" s="38">
        <f t="shared" si="15"/>
        <v>685</v>
      </c>
      <c r="AR95" s="38">
        <f t="shared" si="16"/>
        <v>507</v>
      </c>
      <c r="AS95" s="38">
        <f t="shared" si="17"/>
        <v>178</v>
      </c>
    </row>
    <row r="96" spans="1:46" ht="39.75" customHeight="1" hidden="1">
      <c r="A96" s="38"/>
      <c r="B96" s="189"/>
      <c r="C96" s="189"/>
      <c r="D96" s="189"/>
      <c r="E96" s="189"/>
      <c r="F96" s="189"/>
      <c r="G96" s="189"/>
      <c r="H96" s="189"/>
      <c r="I96" s="189"/>
      <c r="J96" s="189"/>
      <c r="K96" s="189"/>
      <c r="L96" s="189"/>
      <c r="M96" s="189"/>
      <c r="N96" s="37"/>
      <c r="O96" s="37"/>
      <c r="Q96" s="37"/>
      <c r="R96" s="37"/>
      <c r="S96" s="37"/>
      <c r="U96" s="38">
        <v>1</v>
      </c>
      <c r="V96" s="38">
        <f>IF(U90=2,"","March,15")</f>
        <v>0</v>
      </c>
      <c r="X96" s="38">
        <f>IF(U90=2,"","1")</f>
        <v>0</v>
      </c>
      <c r="Y96" s="38">
        <f>IF($AA$59=2,"","1")</f>
        <v>0</v>
      </c>
      <c r="AA96" s="126">
        <v>4</v>
      </c>
      <c r="AB96" s="247">
        <v>14170</v>
      </c>
      <c r="AC96" s="246">
        <v>4150</v>
      </c>
      <c r="AD96" s="245">
        <v>4260</v>
      </c>
      <c r="AE96" s="247">
        <v>14170</v>
      </c>
      <c r="AF96" s="247">
        <v>14600</v>
      </c>
      <c r="AG96" s="247">
        <v>15030</v>
      </c>
      <c r="AK96" s="192">
        <f>IF(AJ92=4,"","June,15")</f>
        <v>0</v>
      </c>
      <c r="AL96" s="38">
        <f>'Annexure -I'!C7</f>
        <v>56870</v>
      </c>
      <c r="AM96" s="38">
        <f t="shared" si="12"/>
        <v>6854</v>
      </c>
      <c r="AN96" s="38">
        <f t="shared" si="13"/>
        <v>5066</v>
      </c>
      <c r="AO96" s="38">
        <f t="shared" si="14"/>
        <v>1788</v>
      </c>
      <c r="AP96" s="37"/>
      <c r="AQ96" s="38">
        <f t="shared" si="15"/>
        <v>685</v>
      </c>
      <c r="AR96" s="38">
        <f t="shared" si="16"/>
        <v>507</v>
      </c>
      <c r="AS96" s="38">
        <f t="shared" si="17"/>
        <v>178</v>
      </c>
      <c r="AT96" s="37"/>
    </row>
    <row r="97" spans="1:45" ht="39.75" customHeight="1" hidden="1">
      <c r="A97" s="38"/>
      <c r="B97" s="189"/>
      <c r="C97" s="189"/>
      <c r="D97" s="189"/>
      <c r="E97" s="189"/>
      <c r="F97" s="189"/>
      <c r="G97" s="189"/>
      <c r="H97" s="189"/>
      <c r="I97" s="189"/>
      <c r="J97" s="189"/>
      <c r="K97" s="189"/>
      <c r="L97" s="189"/>
      <c r="M97" s="189"/>
      <c r="N97" s="38">
        <f>IF(AA25=1,N100,N101)</f>
        <v>0</v>
      </c>
      <c r="O97" s="38"/>
      <c r="P97" s="38"/>
      <c r="U97" s="38">
        <v>2</v>
      </c>
      <c r="V97" s="38">
        <f>IF(U90=2,"","April,15")</f>
        <v>0</v>
      </c>
      <c r="X97" s="38">
        <f>IF(U90=2,"","2")</f>
        <v>0</v>
      </c>
      <c r="Y97" s="38">
        <f>IF($AA$59=2,"","2")</f>
        <v>0</v>
      </c>
      <c r="AA97" s="126">
        <v>5</v>
      </c>
      <c r="AB97" s="247">
        <v>14600</v>
      </c>
      <c r="AC97" s="246">
        <v>4260</v>
      </c>
      <c r="AD97" s="245">
        <v>4370</v>
      </c>
      <c r="AE97" s="247">
        <v>14600</v>
      </c>
      <c r="AF97" s="247">
        <v>15030</v>
      </c>
      <c r="AG97" s="247">
        <v>15460</v>
      </c>
      <c r="AK97" s="248" t="s">
        <v>214</v>
      </c>
      <c r="AL97" s="38">
        <f>'Annexure -I'!C8</f>
        <v>56870</v>
      </c>
      <c r="AM97" s="38">
        <f t="shared" si="12"/>
        <v>6854</v>
      </c>
      <c r="AN97" s="38">
        <f t="shared" si="13"/>
        <v>5066</v>
      </c>
      <c r="AO97" s="38">
        <f t="shared" si="14"/>
        <v>1788</v>
      </c>
      <c r="AP97" s="37"/>
      <c r="AQ97" s="38">
        <f t="shared" si="15"/>
        <v>685</v>
      </c>
      <c r="AR97" s="38">
        <f t="shared" si="16"/>
        <v>507</v>
      </c>
      <c r="AS97" s="38">
        <f t="shared" si="17"/>
        <v>178</v>
      </c>
    </row>
    <row r="98" spans="1:46" ht="39.75" customHeight="1" hidden="1">
      <c r="A98" s="38"/>
      <c r="B98" s="189"/>
      <c r="C98" s="189"/>
      <c r="D98" s="189"/>
      <c r="E98" s="189"/>
      <c r="F98" s="189"/>
      <c r="G98" s="189"/>
      <c r="H98" s="189"/>
      <c r="I98" s="189"/>
      <c r="J98" s="189"/>
      <c r="K98" s="189"/>
      <c r="L98" s="189"/>
      <c r="M98" s="189"/>
      <c r="N98" s="38"/>
      <c r="O98" s="38"/>
      <c r="P98" s="38"/>
      <c r="U98" s="38">
        <v>3</v>
      </c>
      <c r="V98" s="38">
        <f>IF(U90=2,"","May,15")</f>
        <v>0</v>
      </c>
      <c r="X98" s="38">
        <f>IF(U90=2,"","3")</f>
        <v>0</v>
      </c>
      <c r="Y98" s="38">
        <f>IF($AA$59=2,"","3")</f>
        <v>0</v>
      </c>
      <c r="AA98" s="126">
        <v>6</v>
      </c>
      <c r="AB98" s="247">
        <v>15030</v>
      </c>
      <c r="AC98" s="246">
        <v>4370</v>
      </c>
      <c r="AD98" s="245">
        <v>4480</v>
      </c>
      <c r="AE98" s="247">
        <v>15030</v>
      </c>
      <c r="AF98" s="247">
        <v>15460</v>
      </c>
      <c r="AG98" s="247">
        <v>15930</v>
      </c>
      <c r="AK98" s="248" t="s">
        <v>217</v>
      </c>
      <c r="AL98" s="38">
        <f>'Annexure -I'!C9</f>
        <v>56870</v>
      </c>
      <c r="AM98" s="38">
        <f t="shared" si="12"/>
        <v>6854</v>
      </c>
      <c r="AN98" s="38">
        <f t="shared" si="13"/>
        <v>5066</v>
      </c>
      <c r="AO98" s="38">
        <f t="shared" si="14"/>
        <v>1788</v>
      </c>
      <c r="AP98" s="38">
        <f>SUM(AO91:AO101)</f>
        <v>14304</v>
      </c>
      <c r="AQ98" s="38">
        <f t="shared" si="15"/>
        <v>685</v>
      </c>
      <c r="AR98" s="38">
        <f t="shared" si="16"/>
        <v>507</v>
      </c>
      <c r="AS98" s="38">
        <f t="shared" si="17"/>
        <v>178</v>
      </c>
      <c r="AT98" s="38">
        <f>SUM(AS91:AS101)</f>
        <v>1424</v>
      </c>
    </row>
    <row r="99" spans="1:45" ht="39.75" customHeight="1" hidden="1">
      <c r="A99" s="38"/>
      <c r="B99" s="189"/>
      <c r="C99" s="189"/>
      <c r="D99" s="189"/>
      <c r="E99" s="189"/>
      <c r="F99" s="189"/>
      <c r="G99" s="189"/>
      <c r="H99" s="189"/>
      <c r="I99" s="189"/>
      <c r="J99" s="189"/>
      <c r="K99" s="189"/>
      <c r="L99" s="189"/>
      <c r="M99" s="189"/>
      <c r="N99" s="240" t="s">
        <v>337</v>
      </c>
      <c r="O99" s="38"/>
      <c r="P99" s="38"/>
      <c r="U99" s="38">
        <v>4</v>
      </c>
      <c r="V99" s="38">
        <f>IF(U90=2,"","June,15")</f>
        <v>0</v>
      </c>
      <c r="X99" s="38">
        <f>IF(U90=2,"","4")</f>
        <v>0</v>
      </c>
      <c r="Y99" s="38">
        <f>IF($AA$59=2,"","4")</f>
        <v>0</v>
      </c>
      <c r="AA99" s="126">
        <v>7</v>
      </c>
      <c r="AB99" s="247">
        <v>15460</v>
      </c>
      <c r="AC99" s="246">
        <v>4480</v>
      </c>
      <c r="AD99" s="245">
        <v>4595</v>
      </c>
      <c r="AE99" s="247">
        <v>15460</v>
      </c>
      <c r="AF99" s="247">
        <v>15930</v>
      </c>
      <c r="AG99" s="247">
        <v>16400</v>
      </c>
      <c r="AK99" s="192" t="s">
        <v>338</v>
      </c>
      <c r="AL99" s="38">
        <f>IF(AND(AA59=1,O106&lt;3),F119,0)</f>
        <v>0</v>
      </c>
      <c r="AM99" s="38">
        <f t="shared" si="12"/>
        <v>0</v>
      </c>
      <c r="AN99" s="38">
        <f t="shared" si="13"/>
        <v>0</v>
      </c>
      <c r="AO99" s="38">
        <f t="shared" si="14"/>
        <v>0</v>
      </c>
      <c r="AQ99" s="38">
        <f t="shared" si="15"/>
        <v>0</v>
      </c>
      <c r="AR99" s="38">
        <f t="shared" si="16"/>
        <v>0</v>
      </c>
      <c r="AS99" s="38">
        <f t="shared" si="17"/>
        <v>0</v>
      </c>
    </row>
    <row r="100" spans="1:46" ht="39.75" customHeight="1" hidden="1">
      <c r="A100" s="38"/>
      <c r="B100" s="189"/>
      <c r="C100" s="189"/>
      <c r="D100" s="189"/>
      <c r="E100" s="189"/>
      <c r="F100" s="189"/>
      <c r="G100" s="189"/>
      <c r="H100" s="189"/>
      <c r="I100" s="189"/>
      <c r="J100" s="189"/>
      <c r="K100" s="189"/>
      <c r="L100" s="189"/>
      <c r="M100" s="189"/>
      <c r="N100" s="240" t="s">
        <v>339</v>
      </c>
      <c r="O100" s="38"/>
      <c r="P100" s="38"/>
      <c r="U100" s="38">
        <v>5</v>
      </c>
      <c r="V100" s="38">
        <f>IF(U90=2,"","July,15")</f>
        <v>0</v>
      </c>
      <c r="X100" s="38">
        <f>IF(U90=2,"","5")</f>
        <v>0</v>
      </c>
      <c r="Y100" s="38">
        <f>IF($AA$59=2,"","5")</f>
        <v>0</v>
      </c>
      <c r="AA100" s="126">
        <v>8</v>
      </c>
      <c r="AB100" s="247">
        <v>15930</v>
      </c>
      <c r="AC100" s="246">
        <v>4595</v>
      </c>
      <c r="AD100" s="245">
        <v>4710</v>
      </c>
      <c r="AE100" s="247">
        <v>15930</v>
      </c>
      <c r="AF100" s="247">
        <v>16400</v>
      </c>
      <c r="AG100" s="247">
        <v>16870</v>
      </c>
      <c r="AK100" s="192" t="s">
        <v>340</v>
      </c>
      <c r="AL100" s="38">
        <f>IF(AND(U90=1,L121&lt;3),F127,0)</f>
        <v>0</v>
      </c>
      <c r="AM100" s="38">
        <f t="shared" si="12"/>
        <v>0</v>
      </c>
      <c r="AN100" s="38">
        <f t="shared" si="13"/>
        <v>0</v>
      </c>
      <c r="AO100" s="38">
        <f t="shared" si="14"/>
        <v>0</v>
      </c>
      <c r="AQ100" s="38">
        <f t="shared" si="15"/>
        <v>0</v>
      </c>
      <c r="AR100" s="38">
        <f t="shared" si="16"/>
        <v>0</v>
      </c>
      <c r="AS100" s="38">
        <f t="shared" si="17"/>
        <v>0</v>
      </c>
      <c r="AT100" s="37"/>
    </row>
    <row r="101" spans="1:46" ht="39.75" customHeight="1" hidden="1">
      <c r="A101" s="38"/>
      <c r="B101" s="189"/>
      <c r="C101" s="189"/>
      <c r="D101" s="189"/>
      <c r="E101" s="189"/>
      <c r="F101" s="189"/>
      <c r="G101" s="189"/>
      <c r="H101" s="189"/>
      <c r="I101" s="189"/>
      <c r="J101" s="189"/>
      <c r="K101" s="189"/>
      <c r="L101" s="189"/>
      <c r="M101" s="189"/>
      <c r="N101" s="240" t="s">
        <v>339</v>
      </c>
      <c r="O101" s="38"/>
      <c r="P101" s="38"/>
      <c r="U101" s="38">
        <v>6</v>
      </c>
      <c r="V101" s="38">
        <f>IF(U90=2,"","Aug,15")</f>
        <v>0</v>
      </c>
      <c r="X101" s="38">
        <f>IF(U90=2,"","6")</f>
        <v>0</v>
      </c>
      <c r="Y101" s="38">
        <f>IF($AA$59=2,"","6")</f>
        <v>0</v>
      </c>
      <c r="AA101" s="126">
        <v>9</v>
      </c>
      <c r="AB101" s="247">
        <v>16400</v>
      </c>
      <c r="AC101" s="246">
        <v>4710</v>
      </c>
      <c r="AD101" s="245">
        <v>4825</v>
      </c>
      <c r="AE101" s="247">
        <v>16400</v>
      </c>
      <c r="AF101" s="247">
        <v>16870</v>
      </c>
      <c r="AG101" s="247">
        <v>17380</v>
      </c>
      <c r="AK101" s="249" t="s">
        <v>341</v>
      </c>
      <c r="AL101" s="250">
        <f>IF(BJ62&lt;14,BM90,0)</f>
        <v>0</v>
      </c>
      <c r="AM101" s="38">
        <f t="shared" si="12"/>
        <v>0</v>
      </c>
      <c r="AN101" s="38">
        <f t="shared" si="13"/>
        <v>0</v>
      </c>
      <c r="AO101" s="38">
        <f t="shared" si="14"/>
        <v>0</v>
      </c>
      <c r="AQ101" s="38">
        <f t="shared" si="15"/>
        <v>0</v>
      </c>
      <c r="AR101" s="38">
        <f t="shared" si="16"/>
        <v>0</v>
      </c>
      <c r="AS101" s="38">
        <v>0</v>
      </c>
      <c r="AT101" s="37"/>
    </row>
    <row r="102" spans="1:46" ht="39.75" customHeight="1" hidden="1">
      <c r="A102" s="38"/>
      <c r="B102" s="189"/>
      <c r="C102" s="189"/>
      <c r="D102" s="189"/>
      <c r="E102" s="189"/>
      <c r="F102" s="189"/>
      <c r="G102" s="189"/>
      <c r="H102" s="189"/>
      <c r="I102" s="189"/>
      <c r="J102" s="189"/>
      <c r="K102" s="189"/>
      <c r="L102" s="189"/>
      <c r="M102" s="189"/>
      <c r="N102" s="38"/>
      <c r="O102" s="38"/>
      <c r="P102" s="38"/>
      <c r="U102" s="38">
        <v>7</v>
      </c>
      <c r="V102" s="38">
        <f>IF(U90=2,"","Sept,15")</f>
        <v>0</v>
      </c>
      <c r="X102" s="38">
        <f>IF(U90=2,"","7")</f>
        <v>0</v>
      </c>
      <c r="Y102" s="38">
        <f>IF($AA$59=2,"","7")</f>
        <v>0</v>
      </c>
      <c r="AA102" s="126">
        <v>10</v>
      </c>
      <c r="AB102" s="247">
        <v>16870</v>
      </c>
      <c r="AC102" s="246">
        <v>4825</v>
      </c>
      <c r="AD102" s="245">
        <v>4950</v>
      </c>
      <c r="AE102" s="247">
        <v>16870</v>
      </c>
      <c r="AF102" s="247">
        <v>17380</v>
      </c>
      <c r="AG102" s="247">
        <v>17890</v>
      </c>
      <c r="AK102" s="37"/>
      <c r="AL102" s="251" t="s">
        <v>342</v>
      </c>
      <c r="AM102" s="37"/>
      <c r="AN102" s="37"/>
      <c r="AO102" s="37"/>
      <c r="AP102" s="37"/>
      <c r="AQ102" s="37"/>
      <c r="AR102" s="37"/>
      <c r="AS102" s="37"/>
      <c r="AT102" s="37"/>
    </row>
    <row r="103" spans="1:46" ht="39.75" customHeight="1" hidden="1">
      <c r="A103" s="38"/>
      <c r="B103" s="189"/>
      <c r="C103" s="189"/>
      <c r="D103" s="189"/>
      <c r="E103" s="189"/>
      <c r="F103" s="189"/>
      <c r="G103" s="189"/>
      <c r="H103" s="189"/>
      <c r="I103" s="189"/>
      <c r="J103" s="189"/>
      <c r="K103" s="189"/>
      <c r="L103" s="189"/>
      <c r="M103" s="189"/>
      <c r="N103" s="38"/>
      <c r="O103" s="38"/>
      <c r="P103" s="38"/>
      <c r="U103" s="38">
        <v>8</v>
      </c>
      <c r="V103" s="38">
        <f>IF(U90=2,"","Oct,15")</f>
        <v>0</v>
      </c>
      <c r="X103" s="38">
        <f>IF(U90=2,"","8")</f>
        <v>0</v>
      </c>
      <c r="Y103" s="38">
        <f>IF($AA$59=2,"","8")</f>
        <v>0</v>
      </c>
      <c r="AA103" s="126">
        <v>11</v>
      </c>
      <c r="AB103" s="247">
        <v>17380</v>
      </c>
      <c r="AC103" s="246">
        <v>4950</v>
      </c>
      <c r="AD103" s="245">
        <v>5075</v>
      </c>
      <c r="AE103" s="247">
        <v>17380</v>
      </c>
      <c r="AF103" s="247">
        <v>17890</v>
      </c>
      <c r="AG103" s="247">
        <v>18400</v>
      </c>
      <c r="AK103" s="37"/>
      <c r="AL103" s="37"/>
      <c r="AM103" s="37"/>
      <c r="AN103" s="37"/>
      <c r="AO103" s="37"/>
      <c r="AP103" s="37"/>
      <c r="AQ103" s="37"/>
      <c r="AR103" s="37"/>
      <c r="AS103" s="37"/>
      <c r="AT103" s="37"/>
    </row>
    <row r="104" spans="1:46" ht="39.75" customHeight="1" hidden="1">
      <c r="A104" s="38"/>
      <c r="B104" s="189"/>
      <c r="C104" s="189"/>
      <c r="D104" s="189"/>
      <c r="E104" s="189"/>
      <c r="F104" s="189"/>
      <c r="G104" s="189"/>
      <c r="H104" s="189"/>
      <c r="I104" s="189"/>
      <c r="J104" s="189"/>
      <c r="K104" s="189"/>
      <c r="L104" s="189"/>
      <c r="M104" s="189"/>
      <c r="N104" s="38"/>
      <c r="O104" s="38"/>
      <c r="P104" s="38"/>
      <c r="U104" s="38">
        <v>9</v>
      </c>
      <c r="V104" s="38">
        <f>IF(U90=2,"","Nov,15")</f>
        <v>0</v>
      </c>
      <c r="X104" s="38">
        <f>IF(U90=2,"","9")</f>
        <v>0</v>
      </c>
      <c r="Y104" s="38">
        <f>IF($AA$59=2,"","9")</f>
        <v>0</v>
      </c>
      <c r="AA104" s="126">
        <v>12</v>
      </c>
      <c r="AB104" s="247">
        <v>17890</v>
      </c>
      <c r="AC104" s="246">
        <v>5075</v>
      </c>
      <c r="AD104" s="245">
        <v>5200</v>
      </c>
      <c r="AE104" s="247">
        <v>17890</v>
      </c>
      <c r="AF104" s="247">
        <v>18400</v>
      </c>
      <c r="AG104" s="247">
        <v>18950</v>
      </c>
      <c r="AK104" s="37"/>
      <c r="AL104" s="37"/>
      <c r="AM104" s="37"/>
      <c r="AN104" s="37"/>
      <c r="AO104" s="37"/>
      <c r="AP104" s="37"/>
      <c r="AQ104" s="37"/>
      <c r="AR104" s="37"/>
      <c r="AS104" s="37"/>
      <c r="AT104" s="37"/>
    </row>
    <row r="105" spans="1:40" ht="39.75" customHeight="1" hidden="1">
      <c r="A105" s="38"/>
      <c r="B105" s="189"/>
      <c r="C105" s="189"/>
      <c r="D105" s="189"/>
      <c r="E105" s="189"/>
      <c r="F105" s="189"/>
      <c r="G105" s="189"/>
      <c r="H105" s="189"/>
      <c r="I105" s="189"/>
      <c r="J105" s="189"/>
      <c r="K105" s="189"/>
      <c r="L105" s="189"/>
      <c r="M105" s="189"/>
      <c r="N105" s="38"/>
      <c r="O105" s="38"/>
      <c r="P105" s="38"/>
      <c r="U105" s="38">
        <v>10</v>
      </c>
      <c r="V105" s="38">
        <f>IF(U90=2,"","Dec,15")</f>
        <v>0</v>
      </c>
      <c r="X105" s="38">
        <f>IF(U90=2,"","10")</f>
        <v>0</v>
      </c>
      <c r="Y105" s="38">
        <f>IF($AA$59=2,"","10")</f>
        <v>0</v>
      </c>
      <c r="AA105" s="126">
        <v>13</v>
      </c>
      <c r="AB105" s="247">
        <v>18400</v>
      </c>
      <c r="AC105" s="246">
        <v>5200</v>
      </c>
      <c r="AD105" s="245">
        <v>5335</v>
      </c>
      <c r="AE105" s="247">
        <v>18400</v>
      </c>
      <c r="AF105" s="247">
        <v>18950</v>
      </c>
      <c r="AG105" s="247">
        <v>19500</v>
      </c>
      <c r="AM105" s="38" t="s">
        <v>343</v>
      </c>
      <c r="AN105" s="38" t="s">
        <v>331</v>
      </c>
    </row>
    <row r="106" spans="1:45" ht="39.75" customHeight="1" hidden="1">
      <c r="A106" s="38"/>
      <c r="B106" s="189"/>
      <c r="C106" s="189"/>
      <c r="D106" s="189"/>
      <c r="E106" s="189"/>
      <c r="F106" s="189"/>
      <c r="G106" s="189"/>
      <c r="H106" s="189"/>
      <c r="I106" s="189"/>
      <c r="J106" s="189"/>
      <c r="K106" s="189"/>
      <c r="L106" s="189"/>
      <c r="M106" s="189"/>
      <c r="N106" s="38">
        <f>Y59</f>
        <v>17</v>
      </c>
      <c r="O106" s="38">
        <f>AA81</f>
        <v>8</v>
      </c>
      <c r="P106" s="38"/>
      <c r="U106" s="38">
        <v>11</v>
      </c>
      <c r="V106" s="38">
        <f>IF(U90=2,"","Jan,16")</f>
        <v>0</v>
      </c>
      <c r="X106" s="38">
        <f>IF(U90=2,"","11")</f>
        <v>0</v>
      </c>
      <c r="Y106" s="38">
        <f>IF($AA$59=2,"","11")</f>
        <v>0</v>
      </c>
      <c r="AA106" s="126">
        <v>14</v>
      </c>
      <c r="AB106" s="247">
        <v>18950</v>
      </c>
      <c r="AC106" s="246">
        <v>5335</v>
      </c>
      <c r="AD106" s="245">
        <v>5470</v>
      </c>
      <c r="AE106" s="247">
        <v>18950</v>
      </c>
      <c r="AF106" s="247">
        <v>19500</v>
      </c>
      <c r="AG106" s="247">
        <v>20050</v>
      </c>
      <c r="AK106" s="192">
        <f>IF(AJ92=2,"","July,15")</f>
        <v>0</v>
      </c>
      <c r="AL106" s="38">
        <f>'Annexure -I'!C8</f>
        <v>56870</v>
      </c>
      <c r="AM106" s="38">
        <f aca="true" t="shared" si="18" ref="AM106:AM115">ROUND(AL106*15.196/100,0.1)</f>
        <v>8642</v>
      </c>
      <c r="AN106" s="38">
        <f aca="true" t="shared" si="19" ref="AN106:AN115">ROUND(AL106*12.052/100,0.1)</f>
        <v>6854</v>
      </c>
      <c r="AO106" s="38">
        <f aca="true" t="shared" si="20" ref="AO106:AO115">AM106-AN106</f>
        <v>1788</v>
      </c>
      <c r="AQ106" s="38">
        <f aca="true" t="shared" si="21" ref="AQ106:AQ115">ROUND(AM106*10%,0.1)</f>
        <v>864</v>
      </c>
      <c r="AR106" s="38">
        <f aca="true" t="shared" si="22" ref="AR106:AR115">ROUND(AN106*10%,0.1)</f>
        <v>685</v>
      </c>
      <c r="AS106" s="38">
        <f aca="true" t="shared" si="23" ref="AS106:AS112">AQ106-AR106</f>
        <v>179</v>
      </c>
    </row>
    <row r="107" spans="1:45" ht="39.75" customHeight="1" hidden="1">
      <c r="A107" s="38"/>
      <c r="B107" s="189"/>
      <c r="C107" s="189"/>
      <c r="D107" s="189"/>
      <c r="E107" s="189"/>
      <c r="F107" s="189"/>
      <c r="G107" s="189"/>
      <c r="H107" s="189"/>
      <c r="I107" s="189"/>
      <c r="J107" s="189"/>
      <c r="K107" s="189"/>
      <c r="L107" s="189"/>
      <c r="M107" s="189"/>
      <c r="N107" s="38">
        <f>VLOOKUP(O106,O109:Q120,3,0)</f>
        <v>31</v>
      </c>
      <c r="O107" s="173">
        <f>VLOOKUP(O106+1,AA65:AC77,3,0)</f>
        <v>0</v>
      </c>
      <c r="P107" s="38">
        <f>IF(O107&gt;2,2014,2015)</f>
        <v>2014</v>
      </c>
      <c r="U107" s="38">
        <v>12</v>
      </c>
      <c r="V107" s="38">
        <f>IF(U90=2,"","Feb,16")</f>
        <v>0</v>
      </c>
      <c r="X107" s="38">
        <f>IF(U90=2,"","12")</f>
        <v>0</v>
      </c>
      <c r="Y107" s="38">
        <f>IF($AA$59=2,"","12")</f>
        <v>0</v>
      </c>
      <c r="AA107" s="126">
        <v>15</v>
      </c>
      <c r="AB107" s="247">
        <v>19500</v>
      </c>
      <c r="AC107" s="246">
        <v>5470</v>
      </c>
      <c r="AD107" s="245">
        <v>5605</v>
      </c>
      <c r="AE107" s="247">
        <v>19500</v>
      </c>
      <c r="AF107" s="247">
        <v>20050</v>
      </c>
      <c r="AG107" s="247">
        <v>20640</v>
      </c>
      <c r="AK107" s="192">
        <f>IF(AJ92=2,"","Aug,15")</f>
        <v>0</v>
      </c>
      <c r="AL107" s="38">
        <f>'Annexure -I'!C9</f>
        <v>56870</v>
      </c>
      <c r="AM107" s="38">
        <f t="shared" si="18"/>
        <v>8642</v>
      </c>
      <c r="AN107" s="38">
        <f t="shared" si="19"/>
        <v>6854</v>
      </c>
      <c r="AO107" s="38">
        <f t="shared" si="20"/>
        <v>1788</v>
      </c>
      <c r="AQ107" s="38">
        <f t="shared" si="21"/>
        <v>864</v>
      </c>
      <c r="AR107" s="38">
        <f t="shared" si="22"/>
        <v>685</v>
      </c>
      <c r="AS107" s="38">
        <f t="shared" si="23"/>
        <v>179</v>
      </c>
    </row>
    <row r="108" spans="1:45" ht="39.75" customHeight="1" hidden="1">
      <c r="A108" s="38"/>
      <c r="B108" s="189"/>
      <c r="C108" s="189"/>
      <c r="D108" s="189"/>
      <c r="E108" s="189"/>
      <c r="F108" s="189"/>
      <c r="G108" s="189"/>
      <c r="H108" s="189"/>
      <c r="I108" s="189"/>
      <c r="J108" s="189"/>
      <c r="K108" s="189"/>
      <c r="L108" s="189"/>
      <c r="M108" s="189"/>
      <c r="N108" s="38"/>
      <c r="O108" s="38"/>
      <c r="P108" s="38"/>
      <c r="X108" s="38">
        <f>IF(U90=2,"","13")</f>
        <v>0</v>
      </c>
      <c r="Y108" s="38">
        <f>IF($AA$59=2,"","13")</f>
        <v>0</v>
      </c>
      <c r="AA108" s="126">
        <v>16</v>
      </c>
      <c r="AB108" s="247">
        <v>20050</v>
      </c>
      <c r="AC108" s="246">
        <v>5605</v>
      </c>
      <c r="AD108" s="245">
        <v>5750</v>
      </c>
      <c r="AE108" s="247">
        <v>20050</v>
      </c>
      <c r="AF108" s="247">
        <v>20640</v>
      </c>
      <c r="AG108" s="247">
        <v>21230</v>
      </c>
      <c r="AK108" s="192">
        <f>IF(AJ92=2,"","Sept,15")</f>
        <v>0</v>
      </c>
      <c r="AL108" s="38">
        <f>'Annexure -I'!C10</f>
        <v>56870</v>
      </c>
      <c r="AM108" s="38">
        <f t="shared" si="18"/>
        <v>8642</v>
      </c>
      <c r="AN108" s="38">
        <f t="shared" si="19"/>
        <v>6854</v>
      </c>
      <c r="AO108" s="38">
        <f t="shared" si="20"/>
        <v>1788</v>
      </c>
      <c r="AQ108" s="38">
        <f t="shared" si="21"/>
        <v>864</v>
      </c>
      <c r="AR108" s="38">
        <f t="shared" si="22"/>
        <v>685</v>
      </c>
      <c r="AS108" s="38">
        <f t="shared" si="23"/>
        <v>179</v>
      </c>
    </row>
    <row r="109" spans="1:45" ht="39.75" customHeight="1" hidden="1">
      <c r="A109" s="38"/>
      <c r="B109" s="189"/>
      <c r="C109" s="252">
        <v>17</v>
      </c>
      <c r="D109" s="189"/>
      <c r="E109" s="189"/>
      <c r="F109" s="189"/>
      <c r="G109" s="189"/>
      <c r="H109" s="189"/>
      <c r="I109" s="189"/>
      <c r="J109" s="189"/>
      <c r="K109" s="189"/>
      <c r="L109" s="189">
        <f>CONCATENATE(N106,"-",N107,"/",O107,"/",P107)</f>
        <v>0</v>
      </c>
      <c r="M109" s="189"/>
      <c r="N109" s="38"/>
      <c r="O109" s="38">
        <v>1</v>
      </c>
      <c r="P109" s="38">
        <f>IF(O108=2,"","March,12")</f>
        <v>0</v>
      </c>
      <c r="Q109" s="38">
        <v>31</v>
      </c>
      <c r="X109" s="38">
        <f>IF(U90=2,"","14")</f>
        <v>0</v>
      </c>
      <c r="Y109" s="38">
        <f>IF($AA$59=2,"","14")</f>
        <v>0</v>
      </c>
      <c r="AA109" s="126">
        <v>17</v>
      </c>
      <c r="AB109" s="247">
        <v>20640</v>
      </c>
      <c r="AC109" s="246">
        <v>5750</v>
      </c>
      <c r="AD109" s="245">
        <v>5895</v>
      </c>
      <c r="AE109" s="247">
        <v>20640</v>
      </c>
      <c r="AF109" s="247">
        <v>21230</v>
      </c>
      <c r="AG109" s="247">
        <v>21820</v>
      </c>
      <c r="AK109" s="192">
        <f>IF(AJ92=2,"","Oct,15")</f>
        <v>0</v>
      </c>
      <c r="AL109" s="38">
        <f>'Annexure -I'!C11</f>
        <v>58330</v>
      </c>
      <c r="AM109" s="38">
        <f t="shared" si="18"/>
        <v>8864</v>
      </c>
      <c r="AN109" s="38">
        <f t="shared" si="19"/>
        <v>7030</v>
      </c>
      <c r="AO109" s="38">
        <f t="shared" si="20"/>
        <v>1834</v>
      </c>
      <c r="AQ109" s="38">
        <f t="shared" si="21"/>
        <v>886</v>
      </c>
      <c r="AR109" s="38">
        <f t="shared" si="22"/>
        <v>703</v>
      </c>
      <c r="AS109" s="38">
        <f t="shared" si="23"/>
        <v>183</v>
      </c>
    </row>
    <row r="110" spans="1:45" ht="39.75" customHeight="1" hidden="1">
      <c r="A110" s="38"/>
      <c r="B110" s="189"/>
      <c r="C110" s="189"/>
      <c r="D110" s="189"/>
      <c r="E110" s="189"/>
      <c r="F110" s="189"/>
      <c r="G110" s="189"/>
      <c r="H110" s="189"/>
      <c r="I110" s="189"/>
      <c r="J110" s="189"/>
      <c r="K110" s="189"/>
      <c r="L110" s="189"/>
      <c r="M110" s="189"/>
      <c r="N110" s="38"/>
      <c r="O110" s="38">
        <v>2</v>
      </c>
      <c r="P110" s="38">
        <f>IF(O108=2,"","April,12")</f>
        <v>0</v>
      </c>
      <c r="Q110" s="38">
        <v>30</v>
      </c>
      <c r="X110" s="38">
        <f>IF(U90=2,"","15")</f>
        <v>0</v>
      </c>
      <c r="Y110" s="38">
        <f>IF($AA$59=2,"","15")</f>
        <v>0</v>
      </c>
      <c r="AA110" s="126">
        <v>18</v>
      </c>
      <c r="AB110" s="247">
        <v>21230</v>
      </c>
      <c r="AC110" s="246">
        <v>5895</v>
      </c>
      <c r="AD110" s="245">
        <v>6040</v>
      </c>
      <c r="AE110" s="247">
        <v>21230</v>
      </c>
      <c r="AF110" s="247">
        <v>21820</v>
      </c>
      <c r="AG110" s="247">
        <v>22460</v>
      </c>
      <c r="AK110" s="192">
        <f>IF(AJ92=2,"","Nov,15")</f>
        <v>0</v>
      </c>
      <c r="AL110" s="38">
        <f>'Annexure -I'!C12</f>
        <v>58330</v>
      </c>
      <c r="AM110" s="38">
        <f t="shared" si="18"/>
        <v>8864</v>
      </c>
      <c r="AN110" s="38">
        <f t="shared" si="19"/>
        <v>7030</v>
      </c>
      <c r="AO110" s="38">
        <f t="shared" si="20"/>
        <v>1834</v>
      </c>
      <c r="AQ110" s="38">
        <f t="shared" si="21"/>
        <v>886</v>
      </c>
      <c r="AR110" s="38">
        <f t="shared" si="22"/>
        <v>703</v>
      </c>
      <c r="AS110" s="38">
        <f t="shared" si="23"/>
        <v>183</v>
      </c>
    </row>
    <row r="111" spans="1:46" ht="39.75" customHeight="1" hidden="1">
      <c r="A111" s="38"/>
      <c r="B111" s="189"/>
      <c r="C111" s="189"/>
      <c r="D111" s="189"/>
      <c r="E111" s="189"/>
      <c r="F111" s="189"/>
      <c r="G111" s="189"/>
      <c r="H111" s="189"/>
      <c r="I111" s="189"/>
      <c r="J111" s="189"/>
      <c r="K111" s="189"/>
      <c r="L111" s="189">
        <f>VLOOKUP(O106+1,AN29:AP41,3,0)</f>
        <v>58330</v>
      </c>
      <c r="M111" s="189"/>
      <c r="N111" s="38"/>
      <c r="O111" s="38">
        <v>3</v>
      </c>
      <c r="P111" s="38">
        <f>IF(O108=2,"","May,12")</f>
        <v>0</v>
      </c>
      <c r="Q111" s="38">
        <v>31</v>
      </c>
      <c r="T111" s="38">
        <v>2</v>
      </c>
      <c r="U111" s="38">
        <f>VLOOKUP(T111,T112:U113,2,0)</f>
        <v>0</v>
      </c>
      <c r="X111" s="38">
        <f>IF(U90=2,"","16")</f>
        <v>0</v>
      </c>
      <c r="Y111" s="38">
        <f>IF($AA$59=2,"","16")</f>
        <v>0</v>
      </c>
      <c r="AA111" s="126">
        <v>19</v>
      </c>
      <c r="AB111" s="247">
        <v>21820</v>
      </c>
      <c r="AC111" s="246">
        <v>6040</v>
      </c>
      <c r="AD111" s="253">
        <v>6195</v>
      </c>
      <c r="AE111" s="247">
        <v>21820</v>
      </c>
      <c r="AF111" s="247">
        <v>22460</v>
      </c>
      <c r="AG111" s="247">
        <v>23100</v>
      </c>
      <c r="AK111" s="248" t="s">
        <v>231</v>
      </c>
      <c r="AL111" s="38">
        <f>'Annexure -I'!C13</f>
        <v>58330</v>
      </c>
      <c r="AM111" s="38">
        <f t="shared" si="18"/>
        <v>8864</v>
      </c>
      <c r="AN111" s="38">
        <f t="shared" si="19"/>
        <v>7030</v>
      </c>
      <c r="AO111" s="38">
        <f t="shared" si="20"/>
        <v>1834</v>
      </c>
      <c r="AQ111" s="38">
        <f t="shared" si="21"/>
        <v>886</v>
      </c>
      <c r="AR111" s="38">
        <f t="shared" si="22"/>
        <v>703</v>
      </c>
      <c r="AS111" s="38">
        <f t="shared" si="23"/>
        <v>183</v>
      </c>
      <c r="AT111" s="37"/>
    </row>
    <row r="112" spans="1:46" ht="39.75" customHeight="1" hidden="1">
      <c r="A112" s="38"/>
      <c r="B112" s="189"/>
      <c r="C112" s="189"/>
      <c r="D112" s="189"/>
      <c r="E112" s="189"/>
      <c r="F112" s="189"/>
      <c r="G112" s="189"/>
      <c r="H112" s="189"/>
      <c r="I112" s="189"/>
      <c r="J112" s="189"/>
      <c r="K112" s="189"/>
      <c r="L112" s="189">
        <f>VLOOKUP(O106+2,AN29:AP41,3,0)</f>
        <v>58330</v>
      </c>
      <c r="M112" s="189"/>
      <c r="N112" s="38"/>
      <c r="O112" s="38">
        <v>4</v>
      </c>
      <c r="P112" s="38">
        <f>IF(O108=2,"","June,12")</f>
        <v>0</v>
      </c>
      <c r="Q112" s="38">
        <v>30</v>
      </c>
      <c r="T112" s="38">
        <v>1</v>
      </c>
      <c r="U112" s="38">
        <f>IF(U90=1,"Promotion Date","")</f>
        <v>0</v>
      </c>
      <c r="X112" s="38">
        <f>IF(U90=2,"","17")</f>
        <v>0</v>
      </c>
      <c r="Y112" s="38">
        <f>IF($AA$59=2,"","17")</f>
        <v>0</v>
      </c>
      <c r="AA112" s="126">
        <v>20</v>
      </c>
      <c r="AB112" s="247">
        <v>22460</v>
      </c>
      <c r="AC112" s="254">
        <v>6195</v>
      </c>
      <c r="AD112" s="255">
        <v>6350</v>
      </c>
      <c r="AE112" s="247">
        <v>22460</v>
      </c>
      <c r="AF112" s="247">
        <v>23100</v>
      </c>
      <c r="AG112" s="247">
        <v>23740</v>
      </c>
      <c r="AK112" s="248" t="s">
        <v>234</v>
      </c>
      <c r="AL112" s="38">
        <f>'Annexure -I'!C14</f>
        <v>58330</v>
      </c>
      <c r="AM112" s="38">
        <f t="shared" si="18"/>
        <v>8864</v>
      </c>
      <c r="AN112" s="38">
        <f t="shared" si="19"/>
        <v>7030</v>
      </c>
      <c r="AO112" s="38">
        <f t="shared" si="20"/>
        <v>1834</v>
      </c>
      <c r="AQ112" s="38">
        <f t="shared" si="21"/>
        <v>886</v>
      </c>
      <c r="AR112" s="38">
        <f t="shared" si="22"/>
        <v>703</v>
      </c>
      <c r="AS112" s="38">
        <f t="shared" si="23"/>
        <v>183</v>
      </c>
      <c r="AT112" s="37"/>
    </row>
    <row r="113" spans="1:46" ht="39.75" customHeight="1" hidden="1">
      <c r="A113" s="38"/>
      <c r="B113" s="189"/>
      <c r="C113" s="189"/>
      <c r="D113" s="189"/>
      <c r="E113" s="189"/>
      <c r="F113" s="189"/>
      <c r="G113" s="189"/>
      <c r="H113" s="189"/>
      <c r="I113" s="189"/>
      <c r="J113" s="189"/>
      <c r="K113" s="189"/>
      <c r="L113" s="189"/>
      <c r="M113" s="189"/>
      <c r="N113" s="38"/>
      <c r="O113" s="38">
        <v>5</v>
      </c>
      <c r="P113" s="38">
        <f>IF(O108=2,"","July,12")</f>
        <v>0</v>
      </c>
      <c r="Q113" s="38">
        <v>31</v>
      </c>
      <c r="T113" s="38">
        <v>2</v>
      </c>
      <c r="U113" s="38">
        <f>IF(U90=1,"Increment Date","")</f>
        <v>0</v>
      </c>
      <c r="X113" s="38">
        <f>IF(U90=2,"","18")</f>
        <v>0</v>
      </c>
      <c r="Y113" s="38">
        <f>IF($AA$59=2,"","18")</f>
        <v>0</v>
      </c>
      <c r="AA113" s="126">
        <v>21</v>
      </c>
      <c r="AB113" s="247">
        <v>23100</v>
      </c>
      <c r="AC113" s="256">
        <v>6350</v>
      </c>
      <c r="AD113" s="245">
        <v>6505</v>
      </c>
      <c r="AE113" s="247">
        <v>23100</v>
      </c>
      <c r="AF113" s="247">
        <v>23740</v>
      </c>
      <c r="AG113" s="247">
        <v>24440</v>
      </c>
      <c r="AK113" s="192" t="s">
        <v>341</v>
      </c>
      <c r="AL113" s="231">
        <f>IF(AND(BJ62&gt;=10,BJ62&lt;24),BM90,0)</f>
        <v>58330</v>
      </c>
      <c r="AM113" s="38">
        <f t="shared" si="18"/>
        <v>8864</v>
      </c>
      <c r="AN113" s="38">
        <f t="shared" si="19"/>
        <v>7030</v>
      </c>
      <c r="AO113" s="38">
        <f t="shared" si="20"/>
        <v>1834</v>
      </c>
      <c r="AP113" s="38">
        <f>SUM(AO106:AO115)</f>
        <v>14534</v>
      </c>
      <c r="AQ113" s="38">
        <f t="shared" si="21"/>
        <v>886</v>
      </c>
      <c r="AR113" s="38">
        <f t="shared" si="22"/>
        <v>703</v>
      </c>
      <c r="AS113" s="38">
        <v>0</v>
      </c>
      <c r="AT113" s="38">
        <f>SUM(AS106:AS115)</f>
        <v>1269</v>
      </c>
    </row>
    <row r="114" spans="1:45" ht="39.75" customHeight="1" hidden="1">
      <c r="A114" s="38"/>
      <c r="B114" s="189"/>
      <c r="C114" s="189"/>
      <c r="D114" s="189"/>
      <c r="E114" s="189"/>
      <c r="F114" s="189"/>
      <c r="G114" s="189"/>
      <c r="H114" s="189"/>
      <c r="I114" s="189"/>
      <c r="J114" s="189"/>
      <c r="K114" s="189"/>
      <c r="L114" s="189">
        <f>VLOOKUP(O106+1,AN29:AQ41,4,0)</f>
        <v>12.052</v>
      </c>
      <c r="M114" s="189"/>
      <c r="N114" s="38"/>
      <c r="O114" s="38">
        <v>6</v>
      </c>
      <c r="P114" s="38">
        <f>IF(O108=2,"","Aug,12")</f>
        <v>0</v>
      </c>
      <c r="Q114" s="38">
        <v>31</v>
      </c>
      <c r="X114" s="38">
        <f>IF(U90=2,"","19")</f>
        <v>0</v>
      </c>
      <c r="Y114" s="38">
        <f>IF($AA$59=2,"","19")</f>
        <v>0</v>
      </c>
      <c r="AA114" s="126">
        <v>22</v>
      </c>
      <c r="AB114" s="247">
        <v>23740</v>
      </c>
      <c r="AC114" s="246">
        <v>6505</v>
      </c>
      <c r="AD114" s="245">
        <v>6675</v>
      </c>
      <c r="AE114" s="247">
        <v>23740</v>
      </c>
      <c r="AF114" s="247">
        <v>24440</v>
      </c>
      <c r="AG114" s="247">
        <v>25140</v>
      </c>
      <c r="AK114" s="38" t="s">
        <v>338</v>
      </c>
      <c r="AL114" s="38">
        <f>IF(AND(AA59=1,O106&gt;4,O106&lt;8),F119,0)</f>
        <v>0</v>
      </c>
      <c r="AM114" s="38">
        <f t="shared" si="18"/>
        <v>0</v>
      </c>
      <c r="AN114" s="38">
        <f t="shared" si="19"/>
        <v>0</v>
      </c>
      <c r="AO114" s="38">
        <f t="shared" si="20"/>
        <v>0</v>
      </c>
      <c r="AQ114" s="38">
        <f t="shared" si="21"/>
        <v>0</v>
      </c>
      <c r="AR114" s="38">
        <f t="shared" si="22"/>
        <v>0</v>
      </c>
      <c r="AS114" s="38">
        <f aca="true" t="shared" si="24" ref="AS114:AS115">AQ114-AR114</f>
        <v>0</v>
      </c>
    </row>
    <row r="115" spans="1:45" ht="39.75" customHeight="1" hidden="1">
      <c r="A115" s="38"/>
      <c r="B115" s="189"/>
      <c r="C115" s="189"/>
      <c r="D115" s="189"/>
      <c r="E115" s="189"/>
      <c r="F115" s="189"/>
      <c r="G115" s="189"/>
      <c r="H115" s="189"/>
      <c r="I115" s="189"/>
      <c r="J115" s="189"/>
      <c r="K115" s="189"/>
      <c r="L115" s="189">
        <f>VLOOKUP(O106+1,N42:Q53,3,)</f>
        <v>12</v>
      </c>
      <c r="M115" s="189"/>
      <c r="N115" s="38"/>
      <c r="O115" s="38">
        <v>7</v>
      </c>
      <c r="P115" s="38">
        <f>IF(O108=2,"","Sept,12")</f>
        <v>0</v>
      </c>
      <c r="Q115" s="38">
        <v>30</v>
      </c>
      <c r="U115" s="38" t="s">
        <v>174</v>
      </c>
      <c r="X115" s="38">
        <f>IF(U90=2,"","20")</f>
        <v>0</v>
      </c>
      <c r="Y115" s="38">
        <f>IF($AA$59=2,"","20")</f>
        <v>0</v>
      </c>
      <c r="AA115" s="126">
        <v>23</v>
      </c>
      <c r="AB115" s="247">
        <v>24440</v>
      </c>
      <c r="AC115" s="246">
        <v>6675</v>
      </c>
      <c r="AD115" s="245">
        <v>6845</v>
      </c>
      <c r="AE115" s="247">
        <v>24440</v>
      </c>
      <c r="AF115" s="247">
        <v>25140</v>
      </c>
      <c r="AG115" s="247">
        <v>25840</v>
      </c>
      <c r="AK115" s="38" t="s">
        <v>340</v>
      </c>
      <c r="AL115" s="38">
        <f>IF(AND(U90=1,L121&gt;4,L121&lt;8),F127,0)</f>
        <v>0</v>
      </c>
      <c r="AM115" s="38">
        <f t="shared" si="18"/>
        <v>0</v>
      </c>
      <c r="AN115" s="38">
        <f t="shared" si="19"/>
        <v>0</v>
      </c>
      <c r="AO115" s="38">
        <f t="shared" si="20"/>
        <v>0</v>
      </c>
      <c r="AQ115" s="38">
        <f t="shared" si="21"/>
        <v>0</v>
      </c>
      <c r="AR115" s="38">
        <f t="shared" si="22"/>
        <v>0</v>
      </c>
      <c r="AS115" s="38">
        <f t="shared" si="24"/>
        <v>0</v>
      </c>
    </row>
    <row r="116" spans="2:256" s="236" customFormat="1" ht="39.75" customHeight="1" hidden="1">
      <c r="B116" s="257"/>
      <c r="C116" s="257">
        <f>IF(AA59=2,CONCATENATE("No AAS Arrears"),CONCATENATE("AAS  Arrears                                           ",L109))</f>
        <v>0</v>
      </c>
      <c r="D116" s="257"/>
      <c r="E116" s="257"/>
      <c r="F116" s="257"/>
      <c r="G116" s="257"/>
      <c r="H116" s="257"/>
      <c r="I116" s="257"/>
      <c r="J116" s="257"/>
      <c r="K116" s="257"/>
      <c r="L116" s="257"/>
      <c r="M116" s="257"/>
      <c r="O116" s="236">
        <v>8</v>
      </c>
      <c r="P116" s="236">
        <f>IF(O108=2,"","Oct,12")</f>
        <v>0</v>
      </c>
      <c r="Q116" s="236">
        <v>31</v>
      </c>
      <c r="T116" s="258">
        <v>2</v>
      </c>
      <c r="U116" s="259">
        <f>VLOOKUP(T116,T117:U121,2,0)</f>
        <v>12</v>
      </c>
      <c r="V116" s="260"/>
      <c r="X116" s="236">
        <f>IF(U90=2,"","21")</f>
        <v>0</v>
      </c>
      <c r="Y116" s="236">
        <f>IF($AA$59=2,"","21")</f>
        <v>0</v>
      </c>
      <c r="AA116" s="261">
        <v>24</v>
      </c>
      <c r="AB116" s="247">
        <v>25140</v>
      </c>
      <c r="AC116" s="262">
        <v>6845</v>
      </c>
      <c r="AD116" s="263">
        <v>7015</v>
      </c>
      <c r="AE116" s="247">
        <v>25140</v>
      </c>
      <c r="AF116" s="247">
        <v>25840</v>
      </c>
      <c r="AG116" s="247">
        <v>26600</v>
      </c>
      <c r="AK116" s="38"/>
      <c r="AL116" s="38"/>
      <c r="AM116" s="38"/>
      <c r="AN116" s="38"/>
      <c r="AO116" s="38">
        <f>SUM(AO106:AO115)</f>
        <v>14534</v>
      </c>
      <c r="AP116" s="38">
        <f>SUM(AP106:AP115)</f>
        <v>14534</v>
      </c>
      <c r="AQ116" s="38">
        <f>SUM(AQ106:AQ115)</f>
        <v>7022</v>
      </c>
      <c r="AR116" s="38">
        <f>SUM(AR106:AR115)</f>
        <v>5570</v>
      </c>
      <c r="AS116" s="38">
        <f>SUM(AS106:AS115)</f>
        <v>1269</v>
      </c>
      <c r="AT116" s="38"/>
      <c r="GM116" s="264"/>
      <c r="GN116" s="264"/>
      <c r="GO116" s="264"/>
      <c r="GP116" s="264"/>
      <c r="GQ116" s="264"/>
      <c r="GR116" s="264"/>
      <c r="GS116" s="264"/>
      <c r="GT116" s="264"/>
      <c r="GU116" s="264"/>
      <c r="GV116" s="264"/>
      <c r="GW116" s="264"/>
      <c r="GX116" s="264"/>
      <c r="GY116" s="264"/>
      <c r="GZ116" s="264"/>
      <c r="HA116" s="264"/>
      <c r="HB116" s="264"/>
      <c r="HC116" s="264"/>
      <c r="HD116" s="264"/>
      <c r="HE116" s="264"/>
      <c r="HF116" s="264"/>
      <c r="HG116" s="264"/>
      <c r="HH116" s="264"/>
      <c r="HI116" s="264"/>
      <c r="HJ116" s="264"/>
      <c r="HK116" s="264"/>
      <c r="HL116" s="264"/>
      <c r="HM116" s="264"/>
      <c r="HN116" s="264"/>
      <c r="HO116" s="264"/>
      <c r="HP116" s="264"/>
      <c r="HQ116" s="264"/>
      <c r="HR116" s="264"/>
      <c r="HS116" s="264"/>
      <c r="HT116" s="264"/>
      <c r="HU116" s="264"/>
      <c r="HV116" s="264"/>
      <c r="HW116" s="264"/>
      <c r="HX116" s="264"/>
      <c r="HY116" s="264"/>
      <c r="HZ116" s="264"/>
      <c r="IA116" s="264"/>
      <c r="IB116" s="264"/>
      <c r="IC116" s="264"/>
      <c r="ID116" s="264"/>
      <c r="IE116" s="264"/>
      <c r="IF116" s="264"/>
      <c r="IG116" s="264"/>
      <c r="IH116" s="264"/>
      <c r="II116" s="264"/>
      <c r="IJ116" s="264"/>
      <c r="IK116" s="264"/>
      <c r="IL116" s="264"/>
      <c r="IM116" s="264"/>
      <c r="IN116" s="264"/>
      <c r="IO116" s="264"/>
      <c r="IP116" s="264"/>
      <c r="IQ116" s="264"/>
      <c r="IR116" s="264"/>
      <c r="IS116" s="264"/>
      <c r="IT116" s="264"/>
      <c r="IU116" s="264"/>
      <c r="IV116" s="264"/>
    </row>
    <row r="117" spans="2:256" s="236" customFormat="1" ht="39.75" customHeight="1" hidden="1">
      <c r="B117" s="257"/>
      <c r="C117" s="265">
        <f>ROUND(L111*(N107-N106+1)/N107,0.1)</f>
        <v>28224</v>
      </c>
      <c r="D117" s="265">
        <f>ROUND(C117*L114%,0.1)</f>
        <v>3402</v>
      </c>
      <c r="E117" s="265">
        <f>ROUND(C117*L115%,0.1)</f>
        <v>3387</v>
      </c>
      <c r="F117" s="265"/>
      <c r="G117" s="265"/>
      <c r="H117" s="265"/>
      <c r="I117" s="265"/>
      <c r="J117" s="265"/>
      <c r="K117" s="265">
        <f aca="true" t="shared" si="25" ref="K117:K118">L111</f>
        <v>58330</v>
      </c>
      <c r="L117" s="265"/>
      <c r="M117" s="265"/>
      <c r="O117" s="236">
        <v>9</v>
      </c>
      <c r="P117" s="236">
        <f>IF(O108=2,"","Nov,12")</f>
        <v>0</v>
      </c>
      <c r="Q117" s="236">
        <v>30</v>
      </c>
      <c r="T117" s="261">
        <v>1</v>
      </c>
      <c r="U117" s="266">
        <v>0</v>
      </c>
      <c r="V117" s="267">
        <v>0</v>
      </c>
      <c r="X117" s="236">
        <f>IF(U90=2,"","22")</f>
        <v>0</v>
      </c>
      <c r="Y117" s="236">
        <f>IF($AA$59=2,"","22")</f>
        <v>0</v>
      </c>
      <c r="AA117" s="261">
        <v>25</v>
      </c>
      <c r="AB117" s="247">
        <v>25840</v>
      </c>
      <c r="AC117" s="262">
        <v>7015</v>
      </c>
      <c r="AD117" s="263">
        <v>7200</v>
      </c>
      <c r="AE117" s="247">
        <v>25840</v>
      </c>
      <c r="AF117" s="247">
        <v>26600</v>
      </c>
      <c r="AG117" s="247">
        <v>27360</v>
      </c>
      <c r="GM117" s="264"/>
      <c r="GN117" s="264"/>
      <c r="GO117" s="264"/>
      <c r="GP117" s="264"/>
      <c r="GQ117" s="264"/>
      <c r="GR117" s="264"/>
      <c r="GS117" s="264"/>
      <c r="GT117" s="264"/>
      <c r="GU117" s="264"/>
      <c r="GV117" s="264"/>
      <c r="GW117" s="264"/>
      <c r="GX117" s="264"/>
      <c r="GY117" s="264"/>
      <c r="GZ117" s="264"/>
      <c r="HA117" s="264"/>
      <c r="HB117" s="264"/>
      <c r="HC117" s="264"/>
      <c r="HD117" s="264"/>
      <c r="HE117" s="264"/>
      <c r="HF117" s="264"/>
      <c r="HG117" s="264"/>
      <c r="HH117" s="264"/>
      <c r="HI117" s="264"/>
      <c r="HJ117" s="264"/>
      <c r="HK117" s="264"/>
      <c r="HL117" s="264"/>
      <c r="HM117" s="264"/>
      <c r="HN117" s="264"/>
      <c r="HO117" s="264"/>
      <c r="HP117" s="264"/>
      <c r="HQ117" s="264"/>
      <c r="HR117" s="264"/>
      <c r="HS117" s="264"/>
      <c r="HT117" s="264"/>
      <c r="HU117" s="264"/>
      <c r="HV117" s="264"/>
      <c r="HW117" s="264"/>
      <c r="HX117" s="264"/>
      <c r="HY117" s="264"/>
      <c r="HZ117" s="264"/>
      <c r="IA117" s="264"/>
      <c r="IB117" s="264"/>
      <c r="IC117" s="264"/>
      <c r="ID117" s="264"/>
      <c r="IE117" s="264"/>
      <c r="IF117" s="264"/>
      <c r="IG117" s="264"/>
      <c r="IH117" s="264"/>
      <c r="II117" s="264"/>
      <c r="IJ117" s="264"/>
      <c r="IK117" s="264"/>
      <c r="IL117" s="264"/>
      <c r="IM117" s="264"/>
      <c r="IN117" s="264"/>
      <c r="IO117" s="264"/>
      <c r="IP117" s="264"/>
      <c r="IQ117" s="264"/>
      <c r="IR117" s="264"/>
      <c r="IS117" s="264"/>
      <c r="IT117" s="264"/>
      <c r="IU117" s="264"/>
      <c r="IV117" s="264"/>
    </row>
    <row r="118" spans="2:256" s="236" customFormat="1" ht="39.75" customHeight="1" hidden="1">
      <c r="B118" s="257"/>
      <c r="C118" s="265">
        <f>ROUND(L112*(N107-N106+1)/N107,0.1)</f>
        <v>28224</v>
      </c>
      <c r="D118" s="265">
        <f>ROUND(C118*L114%,0.1)</f>
        <v>3402</v>
      </c>
      <c r="E118" s="265">
        <f>ROUND(C118*L115%,0.1)</f>
        <v>3387</v>
      </c>
      <c r="F118" s="265">
        <f>C118-C117</f>
        <v>0</v>
      </c>
      <c r="G118" s="265">
        <f>D118-D117</f>
        <v>0</v>
      </c>
      <c r="H118" s="265">
        <f>E118-E117</f>
        <v>0</v>
      </c>
      <c r="I118" s="265">
        <f>IF(O106&gt;10,ROUND(F118*27%,0.1),0)</f>
        <v>0</v>
      </c>
      <c r="J118" s="265"/>
      <c r="K118" s="265">
        <f t="shared" si="25"/>
        <v>58330</v>
      </c>
      <c r="L118" s="265"/>
      <c r="M118" s="265"/>
      <c r="O118" s="236">
        <v>10</v>
      </c>
      <c r="P118" s="236">
        <f>IF(O108=2,"","Dec,12")</f>
        <v>0</v>
      </c>
      <c r="Q118" s="236">
        <v>31</v>
      </c>
      <c r="T118" s="261">
        <v>2</v>
      </c>
      <c r="U118" s="266">
        <v>12</v>
      </c>
      <c r="V118" s="268" t="s">
        <v>305</v>
      </c>
      <c r="X118" s="236">
        <f>IF(U90=2,"","23")</f>
        <v>0</v>
      </c>
      <c r="Y118" s="236">
        <f>IF($AA$59=2,"","23")</f>
        <v>0</v>
      </c>
      <c r="AA118" s="261">
        <v>26</v>
      </c>
      <c r="AB118" s="247">
        <v>26600</v>
      </c>
      <c r="AC118" s="262">
        <v>7200</v>
      </c>
      <c r="AD118" s="263">
        <v>7385</v>
      </c>
      <c r="AE118" s="247">
        <v>26600</v>
      </c>
      <c r="AF118" s="247">
        <v>27360</v>
      </c>
      <c r="AG118" s="247">
        <v>28120</v>
      </c>
      <c r="GM118" s="264"/>
      <c r="GN118" s="264"/>
      <c r="GO118" s="264"/>
      <c r="GP118" s="264"/>
      <c r="GQ118" s="264"/>
      <c r="GR118" s="264"/>
      <c r="GS118" s="264"/>
      <c r="GT118" s="264"/>
      <c r="GU118" s="264"/>
      <c r="GV118" s="264"/>
      <c r="GW118" s="264"/>
      <c r="GX118" s="264"/>
      <c r="GY118" s="264"/>
      <c r="GZ118" s="264"/>
      <c r="HA118" s="264"/>
      <c r="HB118" s="264"/>
      <c r="HC118" s="264"/>
      <c r="HD118" s="264"/>
      <c r="HE118" s="264"/>
      <c r="HF118" s="264"/>
      <c r="HG118" s="264"/>
      <c r="HH118" s="264"/>
      <c r="HI118" s="264"/>
      <c r="HJ118" s="264"/>
      <c r="HK118" s="264"/>
      <c r="HL118" s="264"/>
      <c r="HM118" s="264"/>
      <c r="HN118" s="264"/>
      <c r="HO118" s="264"/>
      <c r="HP118" s="264"/>
      <c r="HQ118" s="264"/>
      <c r="HR118" s="264"/>
      <c r="HS118" s="264"/>
      <c r="HT118" s="264"/>
      <c r="HU118" s="264"/>
      <c r="HV118" s="264"/>
      <c r="HW118" s="264"/>
      <c r="HX118" s="264"/>
      <c r="HY118" s="264"/>
      <c r="HZ118" s="264"/>
      <c r="IA118" s="264"/>
      <c r="IB118" s="264"/>
      <c r="IC118" s="264"/>
      <c r="ID118" s="264"/>
      <c r="IE118" s="264"/>
      <c r="IF118" s="264"/>
      <c r="IG118" s="264"/>
      <c r="IH118" s="264"/>
      <c r="II118" s="264"/>
      <c r="IJ118" s="264"/>
      <c r="IK118" s="264"/>
      <c r="IL118" s="264"/>
      <c r="IM118" s="264"/>
      <c r="IN118" s="264"/>
      <c r="IO118" s="264"/>
      <c r="IP118" s="264"/>
      <c r="IQ118" s="264"/>
      <c r="IR118" s="264"/>
      <c r="IS118" s="264"/>
      <c r="IT118" s="264"/>
      <c r="IU118" s="264"/>
      <c r="IV118" s="264"/>
    </row>
    <row r="119" spans="2:256" s="236" customFormat="1" ht="39.75" customHeight="1" hidden="1">
      <c r="B119" s="257"/>
      <c r="C119" s="265"/>
      <c r="D119" s="265"/>
      <c r="E119" s="265"/>
      <c r="F119" s="265">
        <f>IF(AA59=2,0,F118)</f>
        <v>0</v>
      </c>
      <c r="G119" s="265">
        <f>IF(AA59=2,0,G118)</f>
        <v>0</v>
      </c>
      <c r="H119" s="265">
        <f>IF(AA59=2,0,H118)</f>
        <v>0</v>
      </c>
      <c r="I119" s="265">
        <f>IF(AB59=2,0,I118)</f>
        <v>0</v>
      </c>
      <c r="J119" s="265"/>
      <c r="K119" s="265"/>
      <c r="L119" s="265"/>
      <c r="M119" s="265"/>
      <c r="O119" s="236">
        <v>11</v>
      </c>
      <c r="P119" s="236">
        <f>IF(O108=2,"","Jan,13")</f>
        <v>0</v>
      </c>
      <c r="Q119" s="236">
        <v>31</v>
      </c>
      <c r="T119" s="261">
        <v>3</v>
      </c>
      <c r="U119" s="266">
        <v>14.5</v>
      </c>
      <c r="V119" s="268" t="s">
        <v>344</v>
      </c>
      <c r="X119" s="236">
        <f>IF(U90=2,"","24")</f>
        <v>0</v>
      </c>
      <c r="Y119" s="236">
        <f>IF($AA$59=2,"","24")</f>
        <v>0</v>
      </c>
      <c r="AA119" s="261">
        <v>27</v>
      </c>
      <c r="AB119" s="247">
        <v>27360</v>
      </c>
      <c r="AC119" s="262">
        <v>7385</v>
      </c>
      <c r="AD119" s="263">
        <v>7570</v>
      </c>
      <c r="AE119" s="247">
        <v>27360</v>
      </c>
      <c r="AF119" s="247">
        <v>28120</v>
      </c>
      <c r="AG119" s="247">
        <v>28940</v>
      </c>
      <c r="GM119" s="264"/>
      <c r="GN119" s="264"/>
      <c r="GO119" s="264"/>
      <c r="GP119" s="264"/>
      <c r="GQ119" s="264"/>
      <c r="GR119" s="264"/>
      <c r="GS119" s="264"/>
      <c r="GT119" s="264"/>
      <c r="GU119" s="264"/>
      <c r="GV119" s="264"/>
      <c r="GW119" s="264"/>
      <c r="GX119" s="264"/>
      <c r="GY119" s="264"/>
      <c r="GZ119" s="264"/>
      <c r="HA119" s="264"/>
      <c r="HB119" s="264"/>
      <c r="HC119" s="264"/>
      <c r="HD119" s="264"/>
      <c r="HE119" s="264"/>
      <c r="HF119" s="264"/>
      <c r="HG119" s="264"/>
      <c r="HH119" s="264"/>
      <c r="HI119" s="264"/>
      <c r="HJ119" s="264"/>
      <c r="HK119" s="264"/>
      <c r="HL119" s="264"/>
      <c r="HM119" s="264"/>
      <c r="HN119" s="264"/>
      <c r="HO119" s="264"/>
      <c r="HP119" s="264"/>
      <c r="HQ119" s="264"/>
      <c r="HR119" s="264"/>
      <c r="HS119" s="264"/>
      <c r="HT119" s="264"/>
      <c r="HU119" s="264"/>
      <c r="HV119" s="264"/>
      <c r="HW119" s="264"/>
      <c r="HX119" s="264"/>
      <c r="HY119" s="264"/>
      <c r="HZ119" s="264"/>
      <c r="IA119" s="264"/>
      <c r="IB119" s="264"/>
      <c r="IC119" s="264"/>
      <c r="ID119" s="264"/>
      <c r="IE119" s="264"/>
      <c r="IF119" s="264"/>
      <c r="IG119" s="264"/>
      <c r="IH119" s="264"/>
      <c r="II119" s="264"/>
      <c r="IJ119" s="264"/>
      <c r="IK119" s="264"/>
      <c r="IL119" s="264"/>
      <c r="IM119" s="264"/>
      <c r="IN119" s="264"/>
      <c r="IO119" s="264"/>
      <c r="IP119" s="264"/>
      <c r="IQ119" s="264"/>
      <c r="IR119" s="264"/>
      <c r="IS119" s="264"/>
      <c r="IT119" s="264"/>
      <c r="IU119" s="264"/>
      <c r="IV119" s="264"/>
    </row>
    <row r="120" spans="2:256" s="236" customFormat="1" ht="39.75" customHeight="1" hidden="1">
      <c r="B120" s="257"/>
      <c r="C120" s="265"/>
      <c r="D120" s="265"/>
      <c r="E120" s="265"/>
      <c r="F120" s="265"/>
      <c r="G120" s="265"/>
      <c r="H120" s="265">
        <f>ROUND(F118*10%,0.1)+ROUND(G118*10%,0.1)</f>
        <v>0</v>
      </c>
      <c r="I120" s="265"/>
      <c r="J120" s="265"/>
      <c r="K120" s="265"/>
      <c r="L120" s="265"/>
      <c r="M120" s="265"/>
      <c r="O120" s="236">
        <v>12</v>
      </c>
      <c r="P120" s="236">
        <f>IF(O108=2,"","Feb,13")</f>
        <v>0</v>
      </c>
      <c r="Q120" s="236">
        <v>29</v>
      </c>
      <c r="T120" s="261">
        <v>4</v>
      </c>
      <c r="U120" s="266">
        <v>20</v>
      </c>
      <c r="V120" s="267">
        <v>20</v>
      </c>
      <c r="X120" s="236">
        <f>IF(U90=2,"","25")</f>
        <v>0</v>
      </c>
      <c r="Y120" s="236">
        <f>IF($AA$59=2,"","25")</f>
        <v>0</v>
      </c>
      <c r="AA120" s="261">
        <v>28</v>
      </c>
      <c r="AB120" s="247">
        <v>28120</v>
      </c>
      <c r="AC120" s="262">
        <v>7570</v>
      </c>
      <c r="AD120" s="263">
        <v>7770</v>
      </c>
      <c r="AE120" s="247">
        <v>28120</v>
      </c>
      <c r="AF120" s="247">
        <v>28940</v>
      </c>
      <c r="AG120" s="247">
        <v>29760</v>
      </c>
      <c r="GM120" s="264"/>
      <c r="GN120" s="264"/>
      <c r="GO120" s="264"/>
      <c r="GP120" s="264"/>
      <c r="GQ120" s="264"/>
      <c r="GR120" s="264"/>
      <c r="GS120" s="264"/>
      <c r="GT120" s="264"/>
      <c r="GU120" s="264"/>
      <c r="GV120" s="264"/>
      <c r="GW120" s="264"/>
      <c r="GX120" s="264"/>
      <c r="GY120" s="264"/>
      <c r="GZ120" s="264"/>
      <c r="HA120" s="264"/>
      <c r="HB120" s="264"/>
      <c r="HC120" s="264"/>
      <c r="HD120" s="264"/>
      <c r="HE120" s="264"/>
      <c r="HF120" s="264"/>
      <c r="HG120" s="264"/>
      <c r="HH120" s="264"/>
      <c r="HI120" s="264"/>
      <c r="HJ120" s="264"/>
      <c r="HK120" s="264"/>
      <c r="HL120" s="264"/>
      <c r="HM120" s="264"/>
      <c r="HN120" s="264"/>
      <c r="HO120" s="264"/>
      <c r="HP120" s="264"/>
      <c r="HQ120" s="264"/>
      <c r="HR120" s="264"/>
      <c r="HS120" s="264"/>
      <c r="HT120" s="264"/>
      <c r="HU120" s="264"/>
      <c r="HV120" s="264"/>
      <c r="HW120" s="264"/>
      <c r="HX120" s="264"/>
      <c r="HY120" s="264"/>
      <c r="HZ120" s="264"/>
      <c r="IA120" s="264"/>
      <c r="IB120" s="264"/>
      <c r="IC120" s="264"/>
      <c r="ID120" s="264"/>
      <c r="IE120" s="264"/>
      <c r="IF120" s="264"/>
      <c r="IG120" s="264"/>
      <c r="IH120" s="264"/>
      <c r="II120" s="264"/>
      <c r="IJ120" s="264"/>
      <c r="IK120" s="264"/>
      <c r="IL120" s="264"/>
      <c r="IM120" s="264"/>
      <c r="IN120" s="264"/>
      <c r="IO120" s="264"/>
      <c r="IP120" s="264"/>
      <c r="IQ120" s="264"/>
      <c r="IR120" s="264"/>
      <c r="IS120" s="264"/>
      <c r="IT120" s="264"/>
      <c r="IU120" s="264"/>
      <c r="IV120" s="264"/>
    </row>
    <row r="121" spans="2:256" s="236" customFormat="1" ht="39.75" customHeight="1" hidden="1">
      <c r="B121" s="257"/>
      <c r="C121" s="265"/>
      <c r="D121" s="265"/>
      <c r="E121" s="265"/>
      <c r="F121" s="265"/>
      <c r="G121" s="265"/>
      <c r="H121" s="265"/>
      <c r="I121" s="265"/>
      <c r="J121" s="265"/>
      <c r="K121" s="265">
        <f>W92</f>
        <v>19</v>
      </c>
      <c r="L121" s="265">
        <f>W93</f>
        <v>5</v>
      </c>
      <c r="M121" s="265"/>
      <c r="T121" s="261">
        <v>5</v>
      </c>
      <c r="U121" s="266">
        <v>30</v>
      </c>
      <c r="V121" s="267">
        <v>30</v>
      </c>
      <c r="X121" s="236">
        <f>IF(U90=2,"","26")</f>
        <v>0</v>
      </c>
      <c r="Y121" s="236">
        <f>IF($AA$59=2,"","26")</f>
        <v>0</v>
      </c>
      <c r="AA121" s="261">
        <v>29</v>
      </c>
      <c r="AB121" s="247">
        <v>28940</v>
      </c>
      <c r="AC121" s="262">
        <v>7770</v>
      </c>
      <c r="AD121" s="263">
        <v>7970</v>
      </c>
      <c r="AE121" s="247">
        <v>28940</v>
      </c>
      <c r="AF121" s="247">
        <v>29760</v>
      </c>
      <c r="AG121" s="247">
        <v>30580</v>
      </c>
      <c r="GM121" s="264"/>
      <c r="GN121" s="264"/>
      <c r="GO121" s="264"/>
      <c r="GP121" s="264"/>
      <c r="GQ121" s="264"/>
      <c r="GR121" s="264"/>
      <c r="GS121" s="264"/>
      <c r="GT121" s="264"/>
      <c r="GU121" s="264"/>
      <c r="GV121" s="264"/>
      <c r="GW121" s="264"/>
      <c r="GX121" s="264"/>
      <c r="GY121" s="264"/>
      <c r="GZ121" s="264"/>
      <c r="HA121" s="264"/>
      <c r="HB121" s="264"/>
      <c r="HC121" s="264"/>
      <c r="HD121" s="264"/>
      <c r="HE121" s="264"/>
      <c r="HF121" s="264"/>
      <c r="HG121" s="264"/>
      <c r="HH121" s="264"/>
      <c r="HI121" s="264"/>
      <c r="HJ121" s="264"/>
      <c r="HK121" s="264"/>
      <c r="HL121" s="264"/>
      <c r="HM121" s="264"/>
      <c r="HN121" s="264"/>
      <c r="HO121" s="264"/>
      <c r="HP121" s="264"/>
      <c r="HQ121" s="264"/>
      <c r="HR121" s="264"/>
      <c r="HS121" s="264"/>
      <c r="HT121" s="264"/>
      <c r="HU121" s="264"/>
      <c r="HV121" s="264"/>
      <c r="HW121" s="264"/>
      <c r="HX121" s="264"/>
      <c r="HY121" s="264"/>
      <c r="HZ121" s="264"/>
      <c r="IA121" s="264"/>
      <c r="IB121" s="264"/>
      <c r="IC121" s="264"/>
      <c r="ID121" s="264"/>
      <c r="IE121" s="264"/>
      <c r="IF121" s="264"/>
      <c r="IG121" s="264"/>
      <c r="IH121" s="264"/>
      <c r="II121" s="264"/>
      <c r="IJ121" s="264"/>
      <c r="IK121" s="264"/>
      <c r="IL121" s="264"/>
      <c r="IM121" s="264"/>
      <c r="IN121" s="264"/>
      <c r="IO121" s="264"/>
      <c r="IP121" s="264"/>
      <c r="IQ121" s="264"/>
      <c r="IR121" s="264"/>
      <c r="IS121" s="264"/>
      <c r="IT121" s="264"/>
      <c r="IU121" s="264"/>
      <c r="IV121" s="264"/>
    </row>
    <row r="122" spans="2:256" s="236" customFormat="1" ht="39.75" customHeight="1" hidden="1">
      <c r="B122" s="257"/>
      <c r="C122" s="265"/>
      <c r="D122" s="265"/>
      <c r="E122" s="265"/>
      <c r="F122" s="265"/>
      <c r="G122" s="265"/>
      <c r="H122" s="265"/>
      <c r="I122" s="265"/>
      <c r="J122" s="265"/>
      <c r="K122" s="265">
        <f>VLOOKUP(L121,O109:Q120,3,0)</f>
        <v>31</v>
      </c>
      <c r="L122" s="265">
        <f>VLOOKUP(L121+1,AA65:AC77,3,0)</f>
        <v>0</v>
      </c>
      <c r="M122" s="265">
        <f>IF(W93&gt;10,2014,2013)</f>
        <v>2013</v>
      </c>
      <c r="T122" s="261"/>
      <c r="U122" s="266"/>
      <c r="V122" s="267"/>
      <c r="X122" s="236">
        <f>IF(U90=2,"","27")</f>
        <v>0</v>
      </c>
      <c r="Y122" s="236">
        <f>IF($AA$59=2,"","27")</f>
        <v>0</v>
      </c>
      <c r="AA122" s="261">
        <v>30</v>
      </c>
      <c r="AB122" s="247">
        <v>29760</v>
      </c>
      <c r="AC122" s="262">
        <v>7970</v>
      </c>
      <c r="AD122" s="263">
        <v>8170</v>
      </c>
      <c r="AE122" s="247">
        <v>29760</v>
      </c>
      <c r="AF122" s="247">
        <v>30580</v>
      </c>
      <c r="AG122" s="247">
        <v>31460</v>
      </c>
      <c r="GM122" s="264"/>
      <c r="GN122" s="264"/>
      <c r="GO122" s="264"/>
      <c r="GP122" s="264"/>
      <c r="GQ122" s="264"/>
      <c r="GR122" s="264"/>
      <c r="GS122" s="264"/>
      <c r="GT122" s="264"/>
      <c r="GU122" s="264"/>
      <c r="GV122" s="264"/>
      <c r="GW122" s="264"/>
      <c r="GX122" s="264"/>
      <c r="GY122" s="264"/>
      <c r="GZ122" s="264"/>
      <c r="HA122" s="264"/>
      <c r="HB122" s="264"/>
      <c r="HC122" s="264"/>
      <c r="HD122" s="264"/>
      <c r="HE122" s="264"/>
      <c r="HF122" s="264"/>
      <c r="HG122" s="264"/>
      <c r="HH122" s="264"/>
      <c r="HI122" s="264"/>
      <c r="HJ122" s="264"/>
      <c r="HK122" s="264"/>
      <c r="HL122" s="264"/>
      <c r="HM122" s="264"/>
      <c r="HN122" s="264"/>
      <c r="HO122" s="264"/>
      <c r="HP122" s="264"/>
      <c r="HQ122" s="264"/>
      <c r="HR122" s="264"/>
      <c r="HS122" s="264"/>
      <c r="HT122" s="264"/>
      <c r="HU122" s="264"/>
      <c r="HV122" s="264"/>
      <c r="HW122" s="264"/>
      <c r="HX122" s="264"/>
      <c r="HY122" s="264"/>
      <c r="HZ122" s="264"/>
      <c r="IA122" s="264"/>
      <c r="IB122" s="264"/>
      <c r="IC122" s="264"/>
      <c r="ID122" s="264"/>
      <c r="IE122" s="264"/>
      <c r="IF122" s="264"/>
      <c r="IG122" s="264"/>
      <c r="IH122" s="264"/>
      <c r="II122" s="264"/>
      <c r="IJ122" s="264"/>
      <c r="IK122" s="264"/>
      <c r="IL122" s="264"/>
      <c r="IM122" s="264"/>
      <c r="IN122" s="264"/>
      <c r="IO122" s="264"/>
      <c r="IP122" s="264"/>
      <c r="IQ122" s="264"/>
      <c r="IR122" s="264"/>
      <c r="IS122" s="264"/>
      <c r="IT122" s="264"/>
      <c r="IU122" s="264"/>
      <c r="IV122" s="264"/>
    </row>
    <row r="123" spans="2:256" s="236" customFormat="1" ht="39.75" customHeight="1" hidden="1">
      <c r="B123" s="257"/>
      <c r="C123" s="257"/>
      <c r="D123" s="257"/>
      <c r="E123" s="257"/>
      <c r="F123" s="257"/>
      <c r="G123" s="257"/>
      <c r="H123" s="257"/>
      <c r="I123" s="257"/>
      <c r="J123" s="257"/>
      <c r="K123" s="257"/>
      <c r="L123" s="257"/>
      <c r="M123" s="257"/>
      <c r="T123" s="258">
        <v>1</v>
      </c>
      <c r="U123" s="259">
        <f>VLOOKUP(T123,AA41:AB52,2,0)</f>
        <v>0</v>
      </c>
      <c r="V123" s="267"/>
      <c r="X123" s="236">
        <f>IF(U90=2,"","28")</f>
        <v>0</v>
      </c>
      <c r="Y123" s="236">
        <f>IF($AA$59=2,"","28")</f>
        <v>0</v>
      </c>
      <c r="AA123" s="261">
        <v>31</v>
      </c>
      <c r="AB123" s="247">
        <v>30580</v>
      </c>
      <c r="AC123" s="262">
        <v>8170</v>
      </c>
      <c r="AD123" s="263">
        <v>8385</v>
      </c>
      <c r="AE123" s="247">
        <v>30580</v>
      </c>
      <c r="AF123" s="247">
        <v>31460</v>
      </c>
      <c r="AG123" s="247">
        <v>32340</v>
      </c>
      <c r="GM123" s="264"/>
      <c r="GN123" s="264"/>
      <c r="GO123" s="264"/>
      <c r="GP123" s="264"/>
      <c r="GQ123" s="264"/>
      <c r="GR123" s="264"/>
      <c r="GS123" s="264"/>
      <c r="GT123" s="264"/>
      <c r="GU123" s="264"/>
      <c r="GV123" s="264"/>
      <c r="GW123" s="264"/>
      <c r="GX123" s="264"/>
      <c r="GY123" s="264"/>
      <c r="GZ123" s="264"/>
      <c r="HA123" s="264"/>
      <c r="HB123" s="264"/>
      <c r="HC123" s="264"/>
      <c r="HD123" s="264"/>
      <c r="HE123" s="264"/>
      <c r="HF123" s="264"/>
      <c r="HG123" s="264"/>
      <c r="HH123" s="264"/>
      <c r="HI123" s="264"/>
      <c r="HJ123" s="264"/>
      <c r="HK123" s="264"/>
      <c r="HL123" s="264"/>
      <c r="HM123" s="264"/>
      <c r="HN123" s="264"/>
      <c r="HO123" s="264"/>
      <c r="HP123" s="264"/>
      <c r="HQ123" s="264"/>
      <c r="HR123" s="264"/>
      <c r="HS123" s="264"/>
      <c r="HT123" s="264"/>
      <c r="HU123" s="264"/>
      <c r="HV123" s="264"/>
      <c r="HW123" s="264"/>
      <c r="HX123" s="264"/>
      <c r="HY123" s="264"/>
      <c r="HZ123" s="264"/>
      <c r="IA123" s="264"/>
      <c r="IB123" s="264"/>
      <c r="IC123" s="264"/>
      <c r="ID123" s="264"/>
      <c r="IE123" s="264"/>
      <c r="IF123" s="264"/>
      <c r="IG123" s="264"/>
      <c r="IH123" s="264"/>
      <c r="II123" s="264"/>
      <c r="IJ123" s="264"/>
      <c r="IK123" s="264"/>
      <c r="IL123" s="264"/>
      <c r="IM123" s="264"/>
      <c r="IN123" s="264"/>
      <c r="IO123" s="264"/>
      <c r="IP123" s="264"/>
      <c r="IQ123" s="264"/>
      <c r="IR123" s="264"/>
      <c r="IS123" s="264"/>
      <c r="IT123" s="264"/>
      <c r="IU123" s="264"/>
      <c r="IV123" s="264"/>
    </row>
    <row r="124" spans="2:256" s="236" customFormat="1" ht="39.75" customHeight="1" hidden="1">
      <c r="B124" s="257"/>
      <c r="C124" s="257">
        <f>IF(U90=2,CONCATENATE("No Promotion "),CONCATENATE("Promotion Arrears                                           ",I124))</f>
        <v>0</v>
      </c>
      <c r="D124" s="257"/>
      <c r="E124" s="257"/>
      <c r="F124" s="257"/>
      <c r="G124" s="257"/>
      <c r="H124" s="257"/>
      <c r="I124" s="257">
        <f>CONCATENATE(K121,"-",K122,"/",L122,"/",M122)</f>
        <v>0</v>
      </c>
      <c r="J124" s="257"/>
      <c r="K124" s="257"/>
      <c r="L124" s="257"/>
      <c r="M124" s="257"/>
      <c r="T124" s="261">
        <v>3</v>
      </c>
      <c r="U124" s="266">
        <f>VLOOKUP(T124,T117:U121,2,)</f>
        <v>14.5</v>
      </c>
      <c r="V124" s="267"/>
      <c r="X124" s="236">
        <f>IF(U90=2,"","29")</f>
        <v>0</v>
      </c>
      <c r="Y124" s="236">
        <f>IF($AA$59=2,"","29")</f>
        <v>0</v>
      </c>
      <c r="AA124" s="261">
        <v>32</v>
      </c>
      <c r="AB124" s="247">
        <v>31460</v>
      </c>
      <c r="AC124" s="262">
        <v>8385</v>
      </c>
      <c r="AD124" s="263">
        <v>8600</v>
      </c>
      <c r="AE124" s="247">
        <v>31460</v>
      </c>
      <c r="AF124" s="247">
        <v>32340</v>
      </c>
      <c r="AG124" s="247">
        <v>33220</v>
      </c>
      <c r="GM124" s="264"/>
      <c r="GN124" s="264"/>
      <c r="GO124" s="264"/>
      <c r="GP124" s="264"/>
      <c r="GQ124" s="264"/>
      <c r="GR124" s="264"/>
      <c r="GS124" s="264"/>
      <c r="GT124" s="264"/>
      <c r="GU124" s="264"/>
      <c r="GV124" s="264"/>
      <c r="GW124" s="264"/>
      <c r="GX124" s="264"/>
      <c r="GY124" s="264"/>
      <c r="GZ124" s="264"/>
      <c r="HA124" s="264"/>
      <c r="HB124" s="264"/>
      <c r="HC124" s="264"/>
      <c r="HD124" s="264"/>
      <c r="HE124" s="264"/>
      <c r="HF124" s="264"/>
      <c r="HG124" s="264"/>
      <c r="HH124" s="264"/>
      <c r="HI124" s="264"/>
      <c r="HJ124" s="264"/>
      <c r="HK124" s="264"/>
      <c r="HL124" s="264"/>
      <c r="HM124" s="264"/>
      <c r="HN124" s="264"/>
      <c r="HO124" s="264"/>
      <c r="HP124" s="264"/>
      <c r="HQ124" s="264"/>
      <c r="HR124" s="264"/>
      <c r="HS124" s="264"/>
      <c r="HT124" s="264"/>
      <c r="HU124" s="264"/>
      <c r="HV124" s="264"/>
      <c r="HW124" s="264"/>
      <c r="HX124" s="264"/>
      <c r="HY124" s="264"/>
      <c r="HZ124" s="264"/>
      <c r="IA124" s="264"/>
      <c r="IB124" s="264"/>
      <c r="IC124" s="264"/>
      <c r="ID124" s="264"/>
      <c r="IE124" s="264"/>
      <c r="IF124" s="264"/>
      <c r="IG124" s="264"/>
      <c r="IH124" s="264"/>
      <c r="II124" s="264"/>
      <c r="IJ124" s="264"/>
      <c r="IK124" s="264"/>
      <c r="IL124" s="264"/>
      <c r="IM124" s="264"/>
      <c r="IN124" s="264"/>
      <c r="IO124" s="264"/>
      <c r="IP124" s="264"/>
      <c r="IQ124" s="264"/>
      <c r="IR124" s="264"/>
      <c r="IS124" s="264"/>
      <c r="IT124" s="264"/>
      <c r="IU124" s="264"/>
      <c r="IV124" s="264"/>
    </row>
    <row r="125" spans="2:256" s="236" customFormat="1" ht="39.75" customHeight="1" hidden="1">
      <c r="B125" s="257"/>
      <c r="C125" s="257">
        <f>ROUND(K125*(K122-K121+1)/K122,0.1)</f>
        <v>23849</v>
      </c>
      <c r="D125" s="257">
        <f>ROUND(C125*L125%,0.1)</f>
        <v>2124</v>
      </c>
      <c r="E125" s="257">
        <f>ROUND(C125*L126%,0.1)</f>
        <v>2862</v>
      </c>
      <c r="F125" s="257"/>
      <c r="G125" s="257"/>
      <c r="H125" s="257"/>
      <c r="I125" s="257"/>
      <c r="J125" s="257"/>
      <c r="K125" s="257">
        <f>VLOOKUP(L121+1,AN29:AP41,3,0)</f>
        <v>56870</v>
      </c>
      <c r="L125" s="269">
        <f>VLOOKUP(L121+1,AN29:AQ41,4,0)</f>
        <v>8.908</v>
      </c>
      <c r="M125" s="257"/>
      <c r="T125" s="261"/>
      <c r="U125" s="266"/>
      <c r="V125" s="267"/>
      <c r="X125" s="236">
        <f>IF(U90=2,"","30")</f>
        <v>0</v>
      </c>
      <c r="Y125" s="236">
        <f>IF($AA$59=2,"","30")</f>
        <v>0</v>
      </c>
      <c r="AA125" s="261">
        <v>33</v>
      </c>
      <c r="AB125" s="247">
        <v>32340</v>
      </c>
      <c r="AC125" s="262">
        <v>8600</v>
      </c>
      <c r="AD125" s="263">
        <v>8815</v>
      </c>
      <c r="AE125" s="247">
        <v>32340</v>
      </c>
      <c r="AF125" s="247">
        <v>33220</v>
      </c>
      <c r="AG125" s="247">
        <v>34170</v>
      </c>
      <c r="GM125" s="264"/>
      <c r="GN125" s="264"/>
      <c r="GO125" s="264"/>
      <c r="GP125" s="264"/>
      <c r="GQ125" s="264"/>
      <c r="GR125" s="264"/>
      <c r="GS125" s="264"/>
      <c r="GT125" s="264"/>
      <c r="GU125" s="264"/>
      <c r="GV125" s="264"/>
      <c r="GW125" s="264"/>
      <c r="GX125" s="264"/>
      <c r="GY125" s="264"/>
      <c r="GZ125" s="264"/>
      <c r="HA125" s="264"/>
      <c r="HB125" s="264"/>
      <c r="HC125" s="264"/>
      <c r="HD125" s="264"/>
      <c r="HE125" s="264"/>
      <c r="HF125" s="264"/>
      <c r="HG125" s="264"/>
      <c r="HH125" s="264"/>
      <c r="HI125" s="264"/>
      <c r="HJ125" s="264"/>
      <c r="HK125" s="264"/>
      <c r="HL125" s="264"/>
      <c r="HM125" s="264"/>
      <c r="HN125" s="264"/>
      <c r="HO125" s="264"/>
      <c r="HP125" s="264"/>
      <c r="HQ125" s="264"/>
      <c r="HR125" s="264"/>
      <c r="HS125" s="264"/>
      <c r="HT125" s="264"/>
      <c r="HU125" s="264"/>
      <c r="HV125" s="264"/>
      <c r="HW125" s="264"/>
      <c r="HX125" s="264"/>
      <c r="HY125" s="264"/>
      <c r="HZ125" s="264"/>
      <c r="IA125" s="264"/>
      <c r="IB125" s="264"/>
      <c r="IC125" s="264"/>
      <c r="ID125" s="264"/>
      <c r="IE125" s="264"/>
      <c r="IF125" s="264"/>
      <c r="IG125" s="264"/>
      <c r="IH125" s="264"/>
      <c r="II125" s="264"/>
      <c r="IJ125" s="264"/>
      <c r="IK125" s="264"/>
      <c r="IL125" s="264"/>
      <c r="IM125" s="264"/>
      <c r="IN125" s="264"/>
      <c r="IO125" s="264"/>
      <c r="IP125" s="264"/>
      <c r="IQ125" s="264"/>
      <c r="IR125" s="264"/>
      <c r="IS125" s="264"/>
      <c r="IT125" s="264"/>
      <c r="IU125" s="264"/>
      <c r="IV125" s="264"/>
    </row>
    <row r="126" spans="2:256" s="236" customFormat="1" ht="39.75" customHeight="1" hidden="1">
      <c r="B126" s="257"/>
      <c r="C126" s="257">
        <f>ROUND(K126*(K122-K121+1)/K122,0.1)</f>
        <v>23849</v>
      </c>
      <c r="D126" s="257">
        <f>ROUND(C126*L125%,0.1)</f>
        <v>2124</v>
      </c>
      <c r="E126" s="257">
        <f>ROUND(C126*L126%,0.1)</f>
        <v>2862</v>
      </c>
      <c r="F126" s="257">
        <f>C126-C125</f>
        <v>0</v>
      </c>
      <c r="G126" s="257">
        <f>D126-D125</f>
        <v>0</v>
      </c>
      <c r="H126" s="257">
        <f>E126-E125</f>
        <v>0</v>
      </c>
      <c r="I126" s="257">
        <f>IF(L121&gt;10,ROUND(F126*27%,0.1),0)</f>
        <v>0</v>
      </c>
      <c r="J126" s="257"/>
      <c r="K126" s="257">
        <f>VLOOKUP(L121+2,AN29:AP42,3,0)</f>
        <v>56870</v>
      </c>
      <c r="L126" s="257">
        <f>VLOOKUP(L121+1,N42:Q53,3,)</f>
        <v>12</v>
      </c>
      <c r="M126" s="257"/>
      <c r="T126" s="270"/>
      <c r="U126" s="271"/>
      <c r="V126" s="272"/>
      <c r="X126" s="236">
        <f>IF(U90=2,"","31")</f>
        <v>0</v>
      </c>
      <c r="Y126" s="236">
        <f>IF($AA$59=2,"","31")</f>
        <v>0</v>
      </c>
      <c r="AA126" s="261">
        <v>34</v>
      </c>
      <c r="AB126" s="247">
        <v>33220</v>
      </c>
      <c r="AC126" s="262">
        <v>8815</v>
      </c>
      <c r="AD126" s="263">
        <v>9050</v>
      </c>
      <c r="AE126" s="247">
        <v>33220</v>
      </c>
      <c r="AF126" s="247">
        <v>34170</v>
      </c>
      <c r="AG126" s="247">
        <v>35120</v>
      </c>
      <c r="GM126" s="264"/>
      <c r="GN126" s="264"/>
      <c r="GO126" s="264"/>
      <c r="GP126" s="264"/>
      <c r="GQ126" s="264"/>
      <c r="GR126" s="264"/>
      <c r="GS126" s="264"/>
      <c r="GT126" s="264"/>
      <c r="GU126" s="264"/>
      <c r="GV126" s="264"/>
      <c r="GW126" s="264"/>
      <c r="GX126" s="264"/>
      <c r="GY126" s="264"/>
      <c r="GZ126" s="264"/>
      <c r="HA126" s="264"/>
      <c r="HB126" s="264"/>
      <c r="HC126" s="264"/>
      <c r="HD126" s="264"/>
      <c r="HE126" s="264"/>
      <c r="HF126" s="264"/>
      <c r="HG126" s="264"/>
      <c r="HH126" s="264"/>
      <c r="HI126" s="264"/>
      <c r="HJ126" s="264"/>
      <c r="HK126" s="264"/>
      <c r="HL126" s="264"/>
      <c r="HM126" s="264"/>
      <c r="HN126" s="264"/>
      <c r="HO126" s="264"/>
      <c r="HP126" s="264"/>
      <c r="HQ126" s="264"/>
      <c r="HR126" s="264"/>
      <c r="HS126" s="264"/>
      <c r="HT126" s="264"/>
      <c r="HU126" s="264"/>
      <c r="HV126" s="264"/>
      <c r="HW126" s="264"/>
      <c r="HX126" s="264"/>
      <c r="HY126" s="264"/>
      <c r="HZ126" s="264"/>
      <c r="IA126" s="264"/>
      <c r="IB126" s="264"/>
      <c r="IC126" s="264"/>
      <c r="ID126" s="264"/>
      <c r="IE126" s="264"/>
      <c r="IF126" s="264"/>
      <c r="IG126" s="264"/>
      <c r="IH126" s="264"/>
      <c r="II126" s="264"/>
      <c r="IJ126" s="264"/>
      <c r="IK126" s="264"/>
      <c r="IL126" s="264"/>
      <c r="IM126" s="264"/>
      <c r="IN126" s="264"/>
      <c r="IO126" s="264"/>
      <c r="IP126" s="264"/>
      <c r="IQ126" s="264"/>
      <c r="IR126" s="264"/>
      <c r="IS126" s="264"/>
      <c r="IT126" s="264"/>
      <c r="IU126" s="264"/>
      <c r="IV126" s="264"/>
    </row>
    <row r="127" spans="2:256" s="236" customFormat="1" ht="39.75" customHeight="1" hidden="1">
      <c r="B127" s="257"/>
      <c r="C127" s="257"/>
      <c r="D127" s="257"/>
      <c r="E127" s="257"/>
      <c r="F127" s="257">
        <f>IF(U90=2,0,F126)</f>
        <v>0</v>
      </c>
      <c r="G127" s="257">
        <f>IF(U90=2,0,G126)</f>
        <v>0</v>
      </c>
      <c r="H127" s="257">
        <f>IF(U90=2,0,H126)</f>
        <v>0</v>
      </c>
      <c r="I127" s="257">
        <f>IF(V90=2,0,I126)</f>
        <v>0</v>
      </c>
      <c r="J127" s="257"/>
      <c r="K127" s="257"/>
      <c r="L127" s="257"/>
      <c r="M127" s="257"/>
      <c r="AA127" s="261">
        <v>35</v>
      </c>
      <c r="AB127" s="247">
        <v>34170</v>
      </c>
      <c r="AC127" s="262">
        <v>9050</v>
      </c>
      <c r="AD127" s="263">
        <v>9285</v>
      </c>
      <c r="AE127" s="247">
        <v>34170</v>
      </c>
      <c r="AF127" s="247">
        <v>35120</v>
      </c>
      <c r="AG127" s="247">
        <v>36070</v>
      </c>
      <c r="GM127" s="264"/>
      <c r="GN127" s="264"/>
      <c r="GO127" s="264"/>
      <c r="GP127" s="264"/>
      <c r="GQ127" s="264"/>
      <c r="GR127" s="264"/>
      <c r="GS127" s="264"/>
      <c r="GT127" s="264"/>
      <c r="GU127" s="264"/>
      <c r="GV127" s="264"/>
      <c r="GW127" s="264"/>
      <c r="GX127" s="264"/>
      <c r="GY127" s="264"/>
      <c r="GZ127" s="264"/>
      <c r="HA127" s="264"/>
      <c r="HB127" s="264"/>
      <c r="HC127" s="264"/>
      <c r="HD127" s="264"/>
      <c r="HE127" s="264"/>
      <c r="HF127" s="264"/>
      <c r="HG127" s="264"/>
      <c r="HH127" s="264"/>
      <c r="HI127" s="264"/>
      <c r="HJ127" s="264"/>
      <c r="HK127" s="264"/>
      <c r="HL127" s="264"/>
      <c r="HM127" s="264"/>
      <c r="HN127" s="264"/>
      <c r="HO127" s="264"/>
      <c r="HP127" s="264"/>
      <c r="HQ127" s="264"/>
      <c r="HR127" s="264"/>
      <c r="HS127" s="264"/>
      <c r="HT127" s="264"/>
      <c r="HU127" s="264"/>
      <c r="HV127" s="264"/>
      <c r="HW127" s="264"/>
      <c r="HX127" s="264"/>
      <c r="HY127" s="264"/>
      <c r="HZ127" s="264"/>
      <c r="IA127" s="264"/>
      <c r="IB127" s="264"/>
      <c r="IC127" s="264"/>
      <c r="ID127" s="264"/>
      <c r="IE127" s="264"/>
      <c r="IF127" s="264"/>
      <c r="IG127" s="264"/>
      <c r="IH127" s="264"/>
      <c r="II127" s="264"/>
      <c r="IJ127" s="264"/>
      <c r="IK127" s="264"/>
      <c r="IL127" s="264"/>
      <c r="IM127" s="264"/>
      <c r="IN127" s="264"/>
      <c r="IO127" s="264"/>
      <c r="IP127" s="264"/>
      <c r="IQ127" s="264"/>
      <c r="IR127" s="264"/>
      <c r="IS127" s="264"/>
      <c r="IT127" s="264"/>
      <c r="IU127" s="264"/>
      <c r="IV127" s="264"/>
    </row>
    <row r="128" spans="2:256" s="236" customFormat="1" ht="39.75" customHeight="1" hidden="1">
      <c r="B128" s="257"/>
      <c r="C128" s="257"/>
      <c r="D128" s="257"/>
      <c r="E128" s="257"/>
      <c r="F128" s="257"/>
      <c r="G128" s="257"/>
      <c r="H128" s="257">
        <f>ROUND(F126*10%,0.1)+ROUND(G126*10%,0.1)</f>
        <v>0</v>
      </c>
      <c r="I128" s="257"/>
      <c r="J128" s="257"/>
      <c r="K128" s="257"/>
      <c r="L128" s="257"/>
      <c r="M128" s="257"/>
      <c r="AA128" s="261">
        <v>36</v>
      </c>
      <c r="AB128" s="247">
        <v>35120</v>
      </c>
      <c r="AC128" s="262">
        <v>9285</v>
      </c>
      <c r="AD128" s="263">
        <v>9520</v>
      </c>
      <c r="AE128" s="247">
        <v>35120</v>
      </c>
      <c r="AF128" s="247">
        <v>36070</v>
      </c>
      <c r="AG128" s="247">
        <v>37100</v>
      </c>
      <c r="GM128" s="264"/>
      <c r="GN128" s="264"/>
      <c r="GO128" s="264"/>
      <c r="GP128" s="264"/>
      <c r="GQ128" s="264"/>
      <c r="GR128" s="264"/>
      <c r="GS128" s="264"/>
      <c r="GT128" s="264"/>
      <c r="GU128" s="264"/>
      <c r="GV128" s="264"/>
      <c r="GW128" s="264"/>
      <c r="GX128" s="264"/>
      <c r="GY128" s="264"/>
      <c r="GZ128" s="264"/>
      <c r="HA128" s="264"/>
      <c r="HB128" s="264"/>
      <c r="HC128" s="264"/>
      <c r="HD128" s="264"/>
      <c r="HE128" s="264"/>
      <c r="HF128" s="264"/>
      <c r="HG128" s="264"/>
      <c r="HH128" s="264"/>
      <c r="HI128" s="264"/>
      <c r="HJ128" s="264"/>
      <c r="HK128" s="264"/>
      <c r="HL128" s="264"/>
      <c r="HM128" s="264"/>
      <c r="HN128" s="264"/>
      <c r="HO128" s="264"/>
      <c r="HP128" s="264"/>
      <c r="HQ128" s="264"/>
      <c r="HR128" s="264"/>
      <c r="HS128" s="264"/>
      <c r="HT128" s="264"/>
      <c r="HU128" s="264"/>
      <c r="HV128" s="264"/>
      <c r="HW128" s="264"/>
      <c r="HX128" s="264"/>
      <c r="HY128" s="264"/>
      <c r="HZ128" s="264"/>
      <c r="IA128" s="264"/>
      <c r="IB128" s="264"/>
      <c r="IC128" s="264"/>
      <c r="ID128" s="264"/>
      <c r="IE128" s="264"/>
      <c r="IF128" s="264"/>
      <c r="IG128" s="264"/>
      <c r="IH128" s="264"/>
      <c r="II128" s="264"/>
      <c r="IJ128" s="264"/>
      <c r="IK128" s="264"/>
      <c r="IL128" s="264"/>
      <c r="IM128" s="264"/>
      <c r="IN128" s="264"/>
      <c r="IO128" s="264"/>
      <c r="IP128" s="264"/>
      <c r="IQ128" s="264"/>
      <c r="IR128" s="264"/>
      <c r="IS128" s="264"/>
      <c r="IT128" s="264"/>
      <c r="IU128" s="264"/>
      <c r="IV128" s="264"/>
    </row>
    <row r="129" spans="2:256" s="236" customFormat="1" ht="39.75" customHeight="1" hidden="1">
      <c r="B129" s="257"/>
      <c r="C129" s="257"/>
      <c r="D129" s="257"/>
      <c r="E129" s="257"/>
      <c r="F129" s="257"/>
      <c r="G129" s="257"/>
      <c r="H129" s="257"/>
      <c r="I129" s="257"/>
      <c r="J129" s="257"/>
      <c r="K129" s="257"/>
      <c r="L129" s="257"/>
      <c r="M129" s="257"/>
      <c r="AA129" s="261">
        <v>37</v>
      </c>
      <c r="AB129" s="247">
        <v>36070</v>
      </c>
      <c r="AC129" s="262">
        <v>9520</v>
      </c>
      <c r="AD129" s="263">
        <v>9775</v>
      </c>
      <c r="AE129" s="247">
        <v>36070</v>
      </c>
      <c r="AF129" s="247">
        <v>37100</v>
      </c>
      <c r="AG129" s="247">
        <v>38130</v>
      </c>
      <c r="GM129" s="264"/>
      <c r="GN129" s="264"/>
      <c r="GO129" s="264"/>
      <c r="GP129" s="264"/>
      <c r="GQ129" s="264"/>
      <c r="GR129" s="264"/>
      <c r="GS129" s="264"/>
      <c r="GT129" s="264"/>
      <c r="GU129" s="264"/>
      <c r="GV129" s="264"/>
      <c r="GW129" s="264"/>
      <c r="GX129" s="264"/>
      <c r="GY129" s="264"/>
      <c r="GZ129" s="264"/>
      <c r="HA129" s="264"/>
      <c r="HB129" s="264"/>
      <c r="HC129" s="264"/>
      <c r="HD129" s="264"/>
      <c r="HE129" s="264"/>
      <c r="HF129" s="264"/>
      <c r="HG129" s="264"/>
      <c r="HH129" s="264"/>
      <c r="HI129" s="264"/>
      <c r="HJ129" s="264"/>
      <c r="HK129" s="264"/>
      <c r="HL129" s="264"/>
      <c r="HM129" s="264"/>
      <c r="HN129" s="264"/>
      <c r="HO129" s="264"/>
      <c r="HP129" s="264"/>
      <c r="HQ129" s="264"/>
      <c r="HR129" s="264"/>
      <c r="HS129" s="264"/>
      <c r="HT129" s="264"/>
      <c r="HU129" s="264"/>
      <c r="HV129" s="264"/>
      <c r="HW129" s="264"/>
      <c r="HX129" s="264"/>
      <c r="HY129" s="264"/>
      <c r="HZ129" s="264"/>
      <c r="IA129" s="264"/>
      <c r="IB129" s="264"/>
      <c r="IC129" s="264"/>
      <c r="ID129" s="264"/>
      <c r="IE129" s="264"/>
      <c r="IF129" s="264"/>
      <c r="IG129" s="264"/>
      <c r="IH129" s="264"/>
      <c r="II129" s="264"/>
      <c r="IJ129" s="264"/>
      <c r="IK129" s="264"/>
      <c r="IL129" s="264"/>
      <c r="IM129" s="264"/>
      <c r="IN129" s="264"/>
      <c r="IO129" s="264"/>
      <c r="IP129" s="264"/>
      <c r="IQ129" s="264"/>
      <c r="IR129" s="264"/>
      <c r="IS129" s="264"/>
      <c r="IT129" s="264"/>
      <c r="IU129" s="264"/>
      <c r="IV129" s="264"/>
    </row>
    <row r="130" spans="2:256" s="236" customFormat="1" ht="39.75" customHeight="1" hidden="1">
      <c r="B130" s="257"/>
      <c r="C130" s="257"/>
      <c r="D130" s="257"/>
      <c r="E130" s="257"/>
      <c r="F130" s="257"/>
      <c r="G130" s="257"/>
      <c r="H130" s="257"/>
      <c r="I130" s="257"/>
      <c r="J130" s="257"/>
      <c r="K130" s="257"/>
      <c r="L130" s="257"/>
      <c r="M130" s="257"/>
      <c r="AA130" s="261">
        <v>38</v>
      </c>
      <c r="AB130" s="247">
        <v>37100</v>
      </c>
      <c r="AC130" s="262">
        <v>9775</v>
      </c>
      <c r="AD130" s="263">
        <v>10030</v>
      </c>
      <c r="AE130" s="247">
        <v>37100</v>
      </c>
      <c r="AF130" s="247">
        <v>38130</v>
      </c>
      <c r="AG130" s="247">
        <v>39160</v>
      </c>
      <c r="GM130" s="264"/>
      <c r="GN130" s="264"/>
      <c r="GO130" s="264"/>
      <c r="GP130" s="264"/>
      <c r="GQ130" s="264"/>
      <c r="GR130" s="264"/>
      <c r="GS130" s="264"/>
      <c r="GT130" s="264"/>
      <c r="GU130" s="264"/>
      <c r="GV130" s="264"/>
      <c r="GW130" s="264"/>
      <c r="GX130" s="264"/>
      <c r="GY130" s="264"/>
      <c r="GZ130" s="264"/>
      <c r="HA130" s="264"/>
      <c r="HB130" s="264"/>
      <c r="HC130" s="264"/>
      <c r="HD130" s="264"/>
      <c r="HE130" s="264"/>
      <c r="HF130" s="264"/>
      <c r="HG130" s="264"/>
      <c r="HH130" s="264"/>
      <c r="HI130" s="264"/>
      <c r="HJ130" s="264"/>
      <c r="HK130" s="264"/>
      <c r="HL130" s="264"/>
      <c r="HM130" s="264"/>
      <c r="HN130" s="264"/>
      <c r="HO130" s="264"/>
      <c r="HP130" s="264"/>
      <c r="HQ130" s="264"/>
      <c r="HR130" s="264"/>
      <c r="HS130" s="264"/>
      <c r="HT130" s="264"/>
      <c r="HU130" s="264"/>
      <c r="HV130" s="264"/>
      <c r="HW130" s="264"/>
      <c r="HX130" s="264"/>
      <c r="HY130" s="264"/>
      <c r="HZ130" s="264"/>
      <c r="IA130" s="264"/>
      <c r="IB130" s="264"/>
      <c r="IC130" s="264"/>
      <c r="ID130" s="264"/>
      <c r="IE130" s="264"/>
      <c r="IF130" s="264"/>
      <c r="IG130" s="264"/>
      <c r="IH130" s="264"/>
      <c r="II130" s="264"/>
      <c r="IJ130" s="264"/>
      <c r="IK130" s="264"/>
      <c r="IL130" s="264"/>
      <c r="IM130" s="264"/>
      <c r="IN130" s="264"/>
      <c r="IO130" s="264"/>
      <c r="IP130" s="264"/>
      <c r="IQ130" s="264"/>
      <c r="IR130" s="264"/>
      <c r="IS130" s="264"/>
      <c r="IT130" s="264"/>
      <c r="IU130" s="264"/>
      <c r="IV130" s="264"/>
    </row>
    <row r="131" spans="2:256" s="236" customFormat="1" ht="39.75" customHeight="1" hidden="1">
      <c r="B131" s="257"/>
      <c r="C131" s="257"/>
      <c r="D131" s="257"/>
      <c r="E131" s="257"/>
      <c r="F131" s="257"/>
      <c r="G131" s="257"/>
      <c r="H131" s="257"/>
      <c r="I131" s="257"/>
      <c r="J131" s="257"/>
      <c r="K131" s="257"/>
      <c r="L131" s="257"/>
      <c r="M131" s="257"/>
      <c r="AA131" s="261">
        <v>39</v>
      </c>
      <c r="AB131" s="247">
        <v>38130</v>
      </c>
      <c r="AC131" s="262">
        <v>10030</v>
      </c>
      <c r="AD131" s="273">
        <v>10285</v>
      </c>
      <c r="AE131" s="247">
        <v>38130</v>
      </c>
      <c r="AF131" s="247">
        <v>39160</v>
      </c>
      <c r="AG131" s="247">
        <v>40270</v>
      </c>
      <c r="GM131" s="264"/>
      <c r="GN131" s="264"/>
      <c r="GO131" s="264"/>
      <c r="GP131" s="264"/>
      <c r="GQ131" s="264"/>
      <c r="GR131" s="264"/>
      <c r="GS131" s="264"/>
      <c r="GT131" s="264"/>
      <c r="GU131" s="264"/>
      <c r="GV131" s="264"/>
      <c r="GW131" s="264"/>
      <c r="GX131" s="264"/>
      <c r="GY131" s="264"/>
      <c r="GZ131" s="264"/>
      <c r="HA131" s="264"/>
      <c r="HB131" s="264"/>
      <c r="HC131" s="264"/>
      <c r="HD131" s="264"/>
      <c r="HE131" s="264"/>
      <c r="HF131" s="264"/>
      <c r="HG131" s="264"/>
      <c r="HH131" s="264"/>
      <c r="HI131" s="264"/>
      <c r="HJ131" s="264"/>
      <c r="HK131" s="264"/>
      <c r="HL131" s="264"/>
      <c r="HM131" s="264"/>
      <c r="HN131" s="264"/>
      <c r="HO131" s="264"/>
      <c r="HP131" s="264"/>
      <c r="HQ131" s="264"/>
      <c r="HR131" s="264"/>
      <c r="HS131" s="264"/>
      <c r="HT131" s="264"/>
      <c r="HU131" s="264"/>
      <c r="HV131" s="264"/>
      <c r="HW131" s="264"/>
      <c r="HX131" s="264"/>
      <c r="HY131" s="264"/>
      <c r="HZ131" s="264"/>
      <c r="IA131" s="264"/>
      <c r="IB131" s="264"/>
      <c r="IC131" s="264"/>
      <c r="ID131" s="264"/>
      <c r="IE131" s="264"/>
      <c r="IF131" s="264"/>
      <c r="IG131" s="264"/>
      <c r="IH131" s="264"/>
      <c r="II131" s="264"/>
      <c r="IJ131" s="264"/>
      <c r="IK131" s="264"/>
      <c r="IL131" s="264"/>
      <c r="IM131" s="264"/>
      <c r="IN131" s="264"/>
      <c r="IO131" s="264"/>
      <c r="IP131" s="264"/>
      <c r="IQ131" s="264"/>
      <c r="IR131" s="264"/>
      <c r="IS131" s="264"/>
      <c r="IT131" s="264"/>
      <c r="IU131" s="264"/>
      <c r="IV131" s="264"/>
    </row>
    <row r="132" spans="1:33" ht="39.75" customHeight="1" hidden="1">
      <c r="A132" s="38"/>
      <c r="B132" s="189"/>
      <c r="C132" s="189"/>
      <c r="D132" s="189"/>
      <c r="E132" s="189"/>
      <c r="F132" s="189"/>
      <c r="G132" s="189"/>
      <c r="H132" s="189"/>
      <c r="I132" s="189"/>
      <c r="J132" s="189"/>
      <c r="K132" s="189"/>
      <c r="L132" s="189"/>
      <c r="M132" s="189"/>
      <c r="N132" s="38"/>
      <c r="O132" s="38"/>
      <c r="P132" s="38"/>
      <c r="AA132" s="126">
        <v>40</v>
      </c>
      <c r="AB132" s="247">
        <v>39160</v>
      </c>
      <c r="AC132" s="254">
        <v>10285</v>
      </c>
      <c r="AD132" s="255">
        <v>10565</v>
      </c>
      <c r="AE132" s="247">
        <v>39160</v>
      </c>
      <c r="AF132" s="247">
        <v>40270</v>
      </c>
      <c r="AG132" s="247">
        <v>41380</v>
      </c>
    </row>
    <row r="133" spans="1:33" ht="39.75" customHeight="1" hidden="1">
      <c r="A133" s="38"/>
      <c r="B133" s="189"/>
      <c r="C133" s="189"/>
      <c r="D133" s="189"/>
      <c r="E133" s="189"/>
      <c r="F133" s="189"/>
      <c r="G133" s="189"/>
      <c r="H133" s="189"/>
      <c r="I133" s="189"/>
      <c r="J133" s="189"/>
      <c r="K133" s="189"/>
      <c r="L133" s="189"/>
      <c r="M133" s="189"/>
      <c r="N133" s="38"/>
      <c r="O133" s="38"/>
      <c r="P133" s="38"/>
      <c r="AA133" s="126">
        <v>41</v>
      </c>
      <c r="AB133" s="247">
        <v>40270</v>
      </c>
      <c r="AC133" s="256">
        <v>10565</v>
      </c>
      <c r="AD133" s="245">
        <v>10845</v>
      </c>
      <c r="AE133" s="247">
        <v>40270</v>
      </c>
      <c r="AF133" s="247">
        <v>41380</v>
      </c>
      <c r="AG133" s="247">
        <v>42490</v>
      </c>
    </row>
    <row r="134" spans="1:33" ht="39.75" customHeight="1" hidden="1">
      <c r="A134" s="38"/>
      <c r="B134" s="189"/>
      <c r="C134" s="189"/>
      <c r="D134" s="189"/>
      <c r="E134" s="189"/>
      <c r="F134" s="189"/>
      <c r="G134" s="189"/>
      <c r="H134" s="189"/>
      <c r="I134" s="189"/>
      <c r="J134" s="189"/>
      <c r="K134" s="189"/>
      <c r="L134" s="189"/>
      <c r="M134" s="189"/>
      <c r="N134" s="38"/>
      <c r="O134" s="38"/>
      <c r="P134" s="38"/>
      <c r="AA134" s="126">
        <v>42</v>
      </c>
      <c r="AB134" s="247">
        <v>41380</v>
      </c>
      <c r="AC134" s="246">
        <v>10845</v>
      </c>
      <c r="AD134" s="245">
        <v>11125</v>
      </c>
      <c r="AE134" s="247">
        <v>41380</v>
      </c>
      <c r="AF134" s="247">
        <v>42490</v>
      </c>
      <c r="AG134" s="247">
        <v>43680</v>
      </c>
    </row>
    <row r="135" spans="1:33" ht="39.75" customHeight="1" hidden="1">
      <c r="A135" s="38"/>
      <c r="B135" s="189"/>
      <c r="C135" s="189"/>
      <c r="D135" s="189"/>
      <c r="E135" s="189"/>
      <c r="F135" s="189"/>
      <c r="G135" s="189"/>
      <c r="H135" s="189"/>
      <c r="I135" s="189"/>
      <c r="J135" s="189"/>
      <c r="K135" s="189"/>
      <c r="L135" s="189"/>
      <c r="M135" s="189"/>
      <c r="N135" s="38"/>
      <c r="O135" s="38"/>
      <c r="P135" s="38"/>
      <c r="AA135" s="126">
        <v>43</v>
      </c>
      <c r="AB135" s="247">
        <v>42490</v>
      </c>
      <c r="AC135" s="246">
        <v>11125</v>
      </c>
      <c r="AD135" s="245">
        <v>11440</v>
      </c>
      <c r="AE135" s="247">
        <v>42490</v>
      </c>
      <c r="AF135" s="247">
        <v>43680</v>
      </c>
      <c r="AG135" s="247">
        <v>44870</v>
      </c>
    </row>
    <row r="136" spans="1:33" ht="39.75" customHeight="1" hidden="1">
      <c r="A136" s="38"/>
      <c r="B136" s="189"/>
      <c r="C136" s="189"/>
      <c r="D136" s="189"/>
      <c r="E136" s="189"/>
      <c r="F136" s="189"/>
      <c r="G136" s="189"/>
      <c r="H136" s="189"/>
      <c r="I136" s="189"/>
      <c r="J136" s="189"/>
      <c r="K136" s="189"/>
      <c r="L136" s="189"/>
      <c r="M136" s="189"/>
      <c r="N136" s="38"/>
      <c r="O136" s="38"/>
      <c r="P136" s="38"/>
      <c r="AA136" s="126">
        <v>44</v>
      </c>
      <c r="AB136" s="247">
        <v>43680</v>
      </c>
      <c r="AC136" s="246">
        <v>11440</v>
      </c>
      <c r="AD136" s="245">
        <v>11755</v>
      </c>
      <c r="AE136" s="247">
        <v>43680</v>
      </c>
      <c r="AF136" s="247">
        <v>44870</v>
      </c>
      <c r="AG136" s="247">
        <v>46060</v>
      </c>
    </row>
    <row r="137" spans="1:33" ht="39.75" customHeight="1" hidden="1">
      <c r="A137" s="38"/>
      <c r="B137" s="189"/>
      <c r="C137" s="189"/>
      <c r="D137" s="189"/>
      <c r="E137" s="189"/>
      <c r="F137" s="189"/>
      <c r="G137" s="189"/>
      <c r="H137" s="189"/>
      <c r="I137" s="189"/>
      <c r="J137" s="189"/>
      <c r="K137" s="189"/>
      <c r="L137" s="189"/>
      <c r="M137" s="189"/>
      <c r="N137" s="38"/>
      <c r="O137" s="38"/>
      <c r="P137" s="38"/>
      <c r="AA137" s="126">
        <v>45</v>
      </c>
      <c r="AB137" s="247">
        <v>44870</v>
      </c>
      <c r="AC137" s="246">
        <v>11755</v>
      </c>
      <c r="AD137" s="245">
        <v>12070</v>
      </c>
      <c r="AE137" s="247">
        <v>44870</v>
      </c>
      <c r="AF137" s="247">
        <v>46060</v>
      </c>
      <c r="AG137" s="247">
        <v>47330</v>
      </c>
    </row>
    <row r="138" spans="1:33" ht="39.75" customHeight="1" hidden="1">
      <c r="A138" s="38"/>
      <c r="B138" s="189"/>
      <c r="C138" s="189"/>
      <c r="D138" s="189"/>
      <c r="E138" s="189"/>
      <c r="F138" s="189"/>
      <c r="G138" s="189"/>
      <c r="H138" s="189"/>
      <c r="I138" s="189"/>
      <c r="J138" s="189"/>
      <c r="K138" s="189"/>
      <c r="L138" s="189"/>
      <c r="M138" s="189"/>
      <c r="N138" s="38"/>
      <c r="O138" s="38"/>
      <c r="P138" s="38"/>
      <c r="AA138" s="126">
        <v>46</v>
      </c>
      <c r="AB138" s="247">
        <v>46060</v>
      </c>
      <c r="AC138" s="246">
        <v>12070</v>
      </c>
      <c r="AD138" s="245">
        <v>12385</v>
      </c>
      <c r="AE138" s="247">
        <v>46060</v>
      </c>
      <c r="AF138" s="247">
        <v>47330</v>
      </c>
      <c r="AG138" s="247">
        <v>48600</v>
      </c>
    </row>
    <row r="139" spans="1:33" ht="39.75" customHeight="1" hidden="1">
      <c r="A139" s="38"/>
      <c r="B139" s="189"/>
      <c r="C139" s="189"/>
      <c r="D139" s="189"/>
      <c r="E139" s="189"/>
      <c r="F139" s="189"/>
      <c r="G139" s="189"/>
      <c r="H139" s="189"/>
      <c r="I139" s="189"/>
      <c r="J139" s="189"/>
      <c r="K139" s="189"/>
      <c r="L139" s="189"/>
      <c r="M139" s="189"/>
      <c r="N139" s="38"/>
      <c r="O139" s="38"/>
      <c r="P139" s="38"/>
      <c r="AA139" s="126">
        <v>47</v>
      </c>
      <c r="AB139" s="247">
        <v>47330</v>
      </c>
      <c r="AC139" s="246">
        <v>12385</v>
      </c>
      <c r="AD139" s="245">
        <v>12700</v>
      </c>
      <c r="AE139" s="247">
        <v>47330</v>
      </c>
      <c r="AF139" s="247">
        <v>48600</v>
      </c>
      <c r="AG139" s="247">
        <v>49870</v>
      </c>
    </row>
    <row r="140" spans="1:33" ht="39.75" customHeight="1" hidden="1">
      <c r="A140" s="38"/>
      <c r="B140" s="189"/>
      <c r="C140" s="189"/>
      <c r="D140" s="189"/>
      <c r="E140" s="189"/>
      <c r="F140" s="189"/>
      <c r="G140" s="189"/>
      <c r="H140" s="189"/>
      <c r="I140" s="189"/>
      <c r="J140" s="189"/>
      <c r="K140" s="189"/>
      <c r="L140" s="189"/>
      <c r="M140" s="189"/>
      <c r="N140" s="38"/>
      <c r="O140" s="38"/>
      <c r="P140" s="38"/>
      <c r="AA140" s="126">
        <v>48</v>
      </c>
      <c r="AB140" s="247">
        <v>48600</v>
      </c>
      <c r="AC140" s="246">
        <v>12700</v>
      </c>
      <c r="AD140" s="245">
        <v>13030</v>
      </c>
      <c r="AE140" s="247">
        <v>48600</v>
      </c>
      <c r="AF140" s="247">
        <v>49870</v>
      </c>
      <c r="AG140" s="247">
        <v>51230</v>
      </c>
    </row>
    <row r="141" spans="1:33" ht="39.75" customHeight="1" hidden="1">
      <c r="A141" s="38"/>
      <c r="B141" s="189"/>
      <c r="C141" s="189"/>
      <c r="D141" s="189"/>
      <c r="E141" s="189"/>
      <c r="F141" s="189"/>
      <c r="G141" s="189"/>
      <c r="H141" s="189"/>
      <c r="I141" s="189"/>
      <c r="J141" s="189"/>
      <c r="K141" s="189"/>
      <c r="L141" s="189"/>
      <c r="M141" s="189"/>
      <c r="N141" s="38"/>
      <c r="O141" s="38"/>
      <c r="P141" s="38"/>
      <c r="AA141" s="126">
        <v>49</v>
      </c>
      <c r="AB141" s="247">
        <v>49870</v>
      </c>
      <c r="AC141" s="246">
        <v>13030</v>
      </c>
      <c r="AD141" s="245">
        <v>13390</v>
      </c>
      <c r="AE141" s="247">
        <v>49870</v>
      </c>
      <c r="AF141" s="247">
        <v>51230</v>
      </c>
      <c r="AG141" s="247">
        <v>52590</v>
      </c>
    </row>
    <row r="142" spans="1:33" ht="39.75" customHeight="1" hidden="1">
      <c r="A142" s="38"/>
      <c r="B142" s="189"/>
      <c r="C142" s="189"/>
      <c r="D142" s="189"/>
      <c r="E142" s="189"/>
      <c r="F142" s="189"/>
      <c r="G142" s="189"/>
      <c r="H142" s="189"/>
      <c r="I142" s="189"/>
      <c r="J142" s="189"/>
      <c r="K142" s="189"/>
      <c r="L142" s="189"/>
      <c r="M142" s="189"/>
      <c r="N142" s="38"/>
      <c r="O142" s="38"/>
      <c r="P142" s="38"/>
      <c r="AA142" s="126">
        <v>50</v>
      </c>
      <c r="AB142" s="247">
        <v>51230</v>
      </c>
      <c r="AC142" s="246">
        <v>13390</v>
      </c>
      <c r="AD142" s="245">
        <v>13750</v>
      </c>
      <c r="AE142" s="247">
        <v>51230</v>
      </c>
      <c r="AF142" s="247">
        <v>52590</v>
      </c>
      <c r="AG142" s="247">
        <v>53950</v>
      </c>
    </row>
    <row r="143" spans="1:33" ht="39.75" customHeight="1" hidden="1">
      <c r="A143" s="38"/>
      <c r="B143" s="189"/>
      <c r="C143" s="189"/>
      <c r="D143" s="189"/>
      <c r="E143" s="189"/>
      <c r="F143" s="189"/>
      <c r="G143" s="189"/>
      <c r="H143" s="189"/>
      <c r="I143" s="189"/>
      <c r="J143" s="189"/>
      <c r="K143" s="189"/>
      <c r="L143" s="189"/>
      <c r="M143" s="189"/>
      <c r="N143" s="38"/>
      <c r="O143" s="38"/>
      <c r="P143" s="38"/>
      <c r="AA143" s="126">
        <v>51</v>
      </c>
      <c r="AB143" s="247">
        <v>52590</v>
      </c>
      <c r="AC143" s="246">
        <v>13750</v>
      </c>
      <c r="AD143" s="245">
        <v>14175</v>
      </c>
      <c r="AE143" s="247">
        <v>52590</v>
      </c>
      <c r="AF143" s="247">
        <v>53950</v>
      </c>
      <c r="AG143" s="247">
        <v>55410</v>
      </c>
    </row>
    <row r="144" spans="1:33" ht="39.75" customHeight="1" hidden="1">
      <c r="A144" s="38"/>
      <c r="B144" s="189"/>
      <c r="C144" s="189"/>
      <c r="D144" s="189"/>
      <c r="E144" s="189"/>
      <c r="F144" s="189"/>
      <c r="G144" s="189"/>
      <c r="H144" s="189"/>
      <c r="I144" s="189"/>
      <c r="J144" s="189"/>
      <c r="K144" s="189"/>
      <c r="L144" s="189"/>
      <c r="M144" s="189"/>
      <c r="N144" s="38"/>
      <c r="O144" s="38"/>
      <c r="P144" s="38"/>
      <c r="AA144" s="126">
        <v>52</v>
      </c>
      <c r="AB144" s="247">
        <v>53950</v>
      </c>
      <c r="AC144" s="246">
        <v>14175</v>
      </c>
      <c r="AD144" s="245">
        <v>14600</v>
      </c>
      <c r="AE144" s="247">
        <v>53950</v>
      </c>
      <c r="AF144" s="247">
        <v>55410</v>
      </c>
      <c r="AG144" s="247">
        <v>56870</v>
      </c>
    </row>
    <row r="145" spans="1:33" ht="39.75" customHeight="1" hidden="1">
      <c r="A145" s="38"/>
      <c r="B145" s="189"/>
      <c r="C145" s="189"/>
      <c r="D145" s="189"/>
      <c r="E145" s="189"/>
      <c r="F145" s="189"/>
      <c r="G145" s="189"/>
      <c r="H145" s="189"/>
      <c r="I145" s="189"/>
      <c r="J145" s="189"/>
      <c r="K145" s="189"/>
      <c r="L145" s="189"/>
      <c r="M145" s="189"/>
      <c r="N145" s="38"/>
      <c r="O145" s="38"/>
      <c r="P145" s="38"/>
      <c r="AA145" s="126">
        <v>53</v>
      </c>
      <c r="AB145" s="247">
        <v>55410</v>
      </c>
      <c r="AC145" s="246">
        <v>14600</v>
      </c>
      <c r="AD145" s="245">
        <v>15025</v>
      </c>
      <c r="AE145" s="247">
        <v>55410</v>
      </c>
      <c r="AF145" s="247">
        <v>56870</v>
      </c>
      <c r="AG145" s="247">
        <v>58330</v>
      </c>
    </row>
    <row r="146" spans="1:33" ht="39.75" customHeight="1" hidden="1">
      <c r="A146" s="38"/>
      <c r="B146" s="189"/>
      <c r="C146" s="189"/>
      <c r="D146" s="189"/>
      <c r="E146" s="189"/>
      <c r="F146" s="189"/>
      <c r="G146" s="189"/>
      <c r="H146" s="189"/>
      <c r="I146" s="189"/>
      <c r="J146" s="189"/>
      <c r="K146" s="189"/>
      <c r="L146" s="189"/>
      <c r="M146" s="189"/>
      <c r="N146" s="38"/>
      <c r="O146" s="38"/>
      <c r="P146" s="38"/>
      <c r="AA146" s="126">
        <v>54</v>
      </c>
      <c r="AB146" s="247">
        <v>56870</v>
      </c>
      <c r="AC146" s="246">
        <v>15025</v>
      </c>
      <c r="AD146" s="245">
        <v>15500</v>
      </c>
      <c r="AE146" s="247">
        <v>56870</v>
      </c>
      <c r="AF146" s="247">
        <v>58330</v>
      </c>
      <c r="AG146" s="247">
        <v>59890</v>
      </c>
    </row>
    <row r="147" spans="1:33" ht="39.75" customHeight="1" hidden="1">
      <c r="A147" s="38"/>
      <c r="B147" s="189"/>
      <c r="C147" s="189"/>
      <c r="D147" s="189"/>
      <c r="E147" s="189"/>
      <c r="F147" s="189"/>
      <c r="G147" s="189"/>
      <c r="H147" s="189"/>
      <c r="I147" s="189"/>
      <c r="J147" s="189"/>
      <c r="K147" s="189"/>
      <c r="L147" s="189"/>
      <c r="M147" s="189"/>
      <c r="N147" s="38"/>
      <c r="O147" s="38"/>
      <c r="P147" s="38"/>
      <c r="AA147" s="126">
        <v>55</v>
      </c>
      <c r="AB147" s="247">
        <v>58330</v>
      </c>
      <c r="AC147" s="246">
        <v>15500</v>
      </c>
      <c r="AD147" s="245">
        <v>15975</v>
      </c>
      <c r="AE147" s="247">
        <v>58330</v>
      </c>
      <c r="AF147" s="247">
        <v>59890</v>
      </c>
      <c r="AG147" s="247">
        <v>61450</v>
      </c>
    </row>
    <row r="148" spans="1:33" ht="39.75" customHeight="1" hidden="1">
      <c r="A148" s="38"/>
      <c r="B148" s="189"/>
      <c r="C148" s="189"/>
      <c r="D148" s="189"/>
      <c r="E148" s="189"/>
      <c r="F148" s="189"/>
      <c r="G148" s="189"/>
      <c r="H148" s="189"/>
      <c r="I148" s="189"/>
      <c r="J148" s="189"/>
      <c r="K148" s="189"/>
      <c r="L148" s="189"/>
      <c r="M148" s="189"/>
      <c r="N148" s="38"/>
      <c r="O148" s="38"/>
      <c r="P148" s="38"/>
      <c r="AA148" s="126">
        <v>56</v>
      </c>
      <c r="AB148" s="247">
        <v>59890</v>
      </c>
      <c r="AC148" s="246">
        <v>15975</v>
      </c>
      <c r="AD148" s="245">
        <v>16450</v>
      </c>
      <c r="AE148" s="247">
        <v>59890</v>
      </c>
      <c r="AF148" s="247">
        <v>61450</v>
      </c>
      <c r="AG148" s="247">
        <v>63010</v>
      </c>
    </row>
    <row r="149" spans="1:33" ht="39.75" customHeight="1" hidden="1">
      <c r="A149" s="38"/>
      <c r="B149" s="189"/>
      <c r="C149" s="189"/>
      <c r="D149" s="189"/>
      <c r="E149" s="189"/>
      <c r="F149" s="189"/>
      <c r="G149" s="189"/>
      <c r="H149" s="189"/>
      <c r="I149" s="189"/>
      <c r="J149" s="189"/>
      <c r="K149" s="189"/>
      <c r="L149" s="189"/>
      <c r="M149" s="189"/>
      <c r="N149" s="38"/>
      <c r="O149" s="38"/>
      <c r="P149" s="38"/>
      <c r="AA149" s="126">
        <v>57</v>
      </c>
      <c r="AB149" s="247">
        <v>61450</v>
      </c>
      <c r="AC149" s="246">
        <v>16450</v>
      </c>
      <c r="AD149" s="245">
        <v>16925</v>
      </c>
      <c r="AE149" s="247">
        <v>61450</v>
      </c>
      <c r="AF149" s="247">
        <v>63010</v>
      </c>
      <c r="AG149" s="247">
        <v>64670</v>
      </c>
    </row>
    <row r="150" spans="1:33" ht="39.75" customHeight="1" hidden="1">
      <c r="A150" s="38"/>
      <c r="B150" s="189"/>
      <c r="C150" s="189"/>
      <c r="D150" s="189"/>
      <c r="E150" s="189"/>
      <c r="F150" s="189"/>
      <c r="G150" s="189"/>
      <c r="H150" s="189"/>
      <c r="I150" s="189"/>
      <c r="J150" s="189"/>
      <c r="K150" s="189"/>
      <c r="L150" s="189"/>
      <c r="M150" s="189"/>
      <c r="N150" s="38"/>
      <c r="O150" s="38"/>
      <c r="P150" s="38"/>
      <c r="AA150" s="126">
        <v>58</v>
      </c>
      <c r="AB150" s="247">
        <v>63010</v>
      </c>
      <c r="AC150" s="246">
        <v>16925</v>
      </c>
      <c r="AD150" s="245">
        <v>17475</v>
      </c>
      <c r="AE150" s="247">
        <v>63010</v>
      </c>
      <c r="AF150" s="247">
        <v>64670</v>
      </c>
      <c r="AG150" s="247">
        <v>66330</v>
      </c>
    </row>
    <row r="151" spans="1:33" ht="39.75" customHeight="1" hidden="1">
      <c r="A151" s="38"/>
      <c r="B151" s="189"/>
      <c r="C151" s="189"/>
      <c r="D151" s="189"/>
      <c r="E151" s="189"/>
      <c r="F151" s="189"/>
      <c r="G151" s="189"/>
      <c r="H151" s="189"/>
      <c r="I151" s="189"/>
      <c r="J151" s="189"/>
      <c r="K151" s="189"/>
      <c r="L151" s="189"/>
      <c r="M151" s="189"/>
      <c r="N151" s="38"/>
      <c r="O151" s="38"/>
      <c r="P151" s="38"/>
      <c r="AA151" s="126">
        <v>59</v>
      </c>
      <c r="AB151" s="247">
        <v>64670</v>
      </c>
      <c r="AC151" s="246">
        <v>17475</v>
      </c>
      <c r="AD151" s="253">
        <v>18025</v>
      </c>
      <c r="AE151" s="247">
        <v>64670</v>
      </c>
      <c r="AF151" s="247">
        <v>66330</v>
      </c>
      <c r="AG151" s="247">
        <v>67990</v>
      </c>
    </row>
    <row r="152" spans="1:33" ht="39.75" customHeight="1" hidden="1">
      <c r="A152" s="38"/>
      <c r="B152" s="189"/>
      <c r="C152" s="189"/>
      <c r="D152" s="189"/>
      <c r="E152" s="189"/>
      <c r="F152" s="189"/>
      <c r="G152" s="189"/>
      <c r="H152" s="189"/>
      <c r="I152" s="189"/>
      <c r="J152" s="189"/>
      <c r="K152" s="189"/>
      <c r="L152" s="189"/>
      <c r="M152" s="189"/>
      <c r="N152" s="38"/>
      <c r="O152" s="38"/>
      <c r="P152" s="38"/>
      <c r="AA152" s="126">
        <v>60</v>
      </c>
      <c r="AB152" s="247">
        <v>66330</v>
      </c>
      <c r="AC152" s="254">
        <v>18025</v>
      </c>
      <c r="AD152" s="255">
        <v>18575</v>
      </c>
      <c r="AE152" s="247">
        <v>66330</v>
      </c>
      <c r="AF152" s="247">
        <v>67990</v>
      </c>
      <c r="AG152" s="247">
        <v>69750</v>
      </c>
    </row>
    <row r="153" spans="1:33" ht="39.75" customHeight="1" hidden="1">
      <c r="A153" s="38"/>
      <c r="B153" s="189"/>
      <c r="C153" s="189"/>
      <c r="D153" s="189"/>
      <c r="E153" s="189"/>
      <c r="F153" s="189"/>
      <c r="G153" s="189"/>
      <c r="H153" s="189"/>
      <c r="I153" s="189"/>
      <c r="J153" s="189"/>
      <c r="K153" s="189"/>
      <c r="L153" s="189"/>
      <c r="M153" s="189"/>
      <c r="N153" s="38"/>
      <c r="O153" s="38"/>
      <c r="P153" s="38"/>
      <c r="AA153" s="126">
        <v>61</v>
      </c>
      <c r="AB153" s="247">
        <v>67990</v>
      </c>
      <c r="AC153" s="256">
        <v>18575</v>
      </c>
      <c r="AD153" s="245">
        <v>19125</v>
      </c>
      <c r="AE153" s="247">
        <v>67990</v>
      </c>
      <c r="AF153" s="247">
        <v>69750</v>
      </c>
      <c r="AG153" s="247">
        <v>71510</v>
      </c>
    </row>
    <row r="154" spans="1:33" ht="39.75" customHeight="1" hidden="1">
      <c r="A154" s="38"/>
      <c r="B154" s="189"/>
      <c r="C154" s="189"/>
      <c r="D154" s="189"/>
      <c r="E154" s="189"/>
      <c r="F154" s="189"/>
      <c r="G154" s="189"/>
      <c r="H154" s="189"/>
      <c r="I154" s="189"/>
      <c r="J154" s="189"/>
      <c r="K154" s="189"/>
      <c r="L154" s="189"/>
      <c r="M154" s="189"/>
      <c r="N154" s="38"/>
      <c r="O154" s="38"/>
      <c r="P154" s="38"/>
      <c r="AA154" s="126">
        <v>62</v>
      </c>
      <c r="AB154" s="247">
        <v>69750</v>
      </c>
      <c r="AC154" s="246">
        <v>19125</v>
      </c>
      <c r="AD154" s="245">
        <v>19675</v>
      </c>
      <c r="AE154" s="247">
        <v>69750</v>
      </c>
      <c r="AF154" s="247">
        <v>71510</v>
      </c>
      <c r="AG154" s="247">
        <v>73270</v>
      </c>
    </row>
    <row r="155" spans="1:33" ht="39.75" customHeight="1" hidden="1">
      <c r="A155" s="38"/>
      <c r="B155" s="189"/>
      <c r="C155" s="189"/>
      <c r="D155" s="189"/>
      <c r="E155" s="189"/>
      <c r="F155" s="189"/>
      <c r="G155" s="189"/>
      <c r="H155" s="189"/>
      <c r="I155" s="189"/>
      <c r="J155" s="189"/>
      <c r="K155" s="189"/>
      <c r="L155" s="189"/>
      <c r="M155" s="189"/>
      <c r="N155" s="38"/>
      <c r="O155" s="38"/>
      <c r="P155" s="38"/>
      <c r="AA155" s="126">
        <v>63</v>
      </c>
      <c r="AB155" s="247">
        <v>71510</v>
      </c>
      <c r="AC155" s="246">
        <v>19675</v>
      </c>
      <c r="AD155" s="245">
        <v>20300</v>
      </c>
      <c r="AE155" s="247">
        <v>71510</v>
      </c>
      <c r="AF155" s="247">
        <v>73270</v>
      </c>
      <c r="AG155" s="247">
        <v>75150</v>
      </c>
    </row>
    <row r="156" spans="1:33" ht="39.75" customHeight="1" hidden="1">
      <c r="A156" s="38"/>
      <c r="B156" s="189"/>
      <c r="C156" s="189"/>
      <c r="D156" s="189"/>
      <c r="E156" s="189"/>
      <c r="F156" s="189"/>
      <c r="G156" s="189"/>
      <c r="H156" s="189"/>
      <c r="I156" s="189"/>
      <c r="J156" s="189"/>
      <c r="K156" s="189"/>
      <c r="L156" s="189"/>
      <c r="M156" s="189"/>
      <c r="N156" s="38"/>
      <c r="O156" s="38"/>
      <c r="P156" s="38"/>
      <c r="AA156" s="126">
        <v>64</v>
      </c>
      <c r="AB156" s="247">
        <v>73270</v>
      </c>
      <c r="AC156" s="246">
        <v>20300</v>
      </c>
      <c r="AD156" s="245">
        <v>20925</v>
      </c>
      <c r="AE156" s="247">
        <v>73270</v>
      </c>
      <c r="AF156" s="247">
        <v>75150</v>
      </c>
      <c r="AG156" s="247">
        <v>77030</v>
      </c>
    </row>
    <row r="157" spans="1:33" ht="39.75" customHeight="1" hidden="1">
      <c r="A157" s="38"/>
      <c r="B157" s="189"/>
      <c r="C157" s="189"/>
      <c r="D157" s="189"/>
      <c r="E157" s="189"/>
      <c r="F157" s="189"/>
      <c r="G157" s="189"/>
      <c r="H157" s="189"/>
      <c r="I157" s="189"/>
      <c r="J157" s="189"/>
      <c r="K157" s="189"/>
      <c r="L157" s="189"/>
      <c r="M157" s="189"/>
      <c r="N157" s="38"/>
      <c r="O157" s="38"/>
      <c r="P157" s="38"/>
      <c r="AA157" s="126">
        <v>65</v>
      </c>
      <c r="AB157" s="247">
        <v>75150</v>
      </c>
      <c r="AC157" s="246">
        <v>20925</v>
      </c>
      <c r="AD157" s="245">
        <v>21550</v>
      </c>
      <c r="AE157" s="247">
        <v>75150</v>
      </c>
      <c r="AF157" s="247">
        <v>77030</v>
      </c>
      <c r="AG157" s="247">
        <v>78910</v>
      </c>
    </row>
    <row r="158" spans="1:33" ht="39.75" customHeight="1" hidden="1">
      <c r="A158" s="38"/>
      <c r="B158" s="189"/>
      <c r="C158" s="189"/>
      <c r="D158" s="189"/>
      <c r="E158" s="189"/>
      <c r="F158" s="189"/>
      <c r="G158" s="189"/>
      <c r="H158" s="189"/>
      <c r="I158" s="189"/>
      <c r="J158" s="189"/>
      <c r="K158" s="189"/>
      <c r="L158" s="189"/>
      <c r="M158" s="189"/>
      <c r="N158" s="38"/>
      <c r="O158" s="38"/>
      <c r="P158" s="38"/>
      <c r="AA158" s="126">
        <v>66</v>
      </c>
      <c r="AB158" s="247">
        <v>77030</v>
      </c>
      <c r="AC158" s="246">
        <v>21550</v>
      </c>
      <c r="AD158" s="245">
        <v>22175</v>
      </c>
      <c r="AE158" s="247">
        <v>77030</v>
      </c>
      <c r="AF158" s="247">
        <v>78910</v>
      </c>
      <c r="AG158" s="247">
        <v>80930</v>
      </c>
    </row>
    <row r="159" spans="1:33" ht="39.75" customHeight="1" hidden="1">
      <c r="A159" s="38"/>
      <c r="B159" s="189"/>
      <c r="C159" s="189"/>
      <c r="D159" s="189"/>
      <c r="E159" s="189"/>
      <c r="F159" s="189"/>
      <c r="G159" s="189"/>
      <c r="H159" s="189"/>
      <c r="I159" s="189"/>
      <c r="J159" s="189"/>
      <c r="K159" s="189"/>
      <c r="L159" s="189"/>
      <c r="M159" s="189"/>
      <c r="N159" s="38"/>
      <c r="O159" s="38"/>
      <c r="P159" s="38"/>
      <c r="AA159" s="126">
        <v>67</v>
      </c>
      <c r="AB159" s="247">
        <v>78910</v>
      </c>
      <c r="AC159" s="246">
        <v>22175</v>
      </c>
      <c r="AD159" s="245">
        <v>22800</v>
      </c>
      <c r="AE159" s="247">
        <v>78910</v>
      </c>
      <c r="AF159" s="247">
        <v>80930</v>
      </c>
      <c r="AG159" s="247">
        <v>82950</v>
      </c>
    </row>
    <row r="160" spans="1:33" ht="39.75" customHeight="1" hidden="1">
      <c r="A160" s="38"/>
      <c r="B160" s="189"/>
      <c r="C160" s="189"/>
      <c r="D160" s="189"/>
      <c r="E160" s="189"/>
      <c r="F160" s="189"/>
      <c r="G160" s="189"/>
      <c r="H160" s="189"/>
      <c r="I160" s="189"/>
      <c r="J160" s="189"/>
      <c r="K160" s="189"/>
      <c r="L160" s="189"/>
      <c r="M160" s="189"/>
      <c r="N160" s="38"/>
      <c r="O160" s="38"/>
      <c r="P160" s="38"/>
      <c r="AA160" s="126">
        <v>68</v>
      </c>
      <c r="AB160" s="247">
        <v>80930</v>
      </c>
      <c r="AC160" s="246">
        <v>22800</v>
      </c>
      <c r="AD160" s="245">
        <v>23500</v>
      </c>
      <c r="AE160" s="247">
        <v>80930</v>
      </c>
      <c r="AF160" s="247">
        <v>82950</v>
      </c>
      <c r="AG160" s="247">
        <v>84970</v>
      </c>
    </row>
    <row r="161" spans="1:33" ht="39.75" customHeight="1" hidden="1">
      <c r="A161" s="38"/>
      <c r="B161" s="189"/>
      <c r="C161" s="189"/>
      <c r="D161" s="189"/>
      <c r="E161" s="189"/>
      <c r="F161" s="189"/>
      <c r="G161" s="189"/>
      <c r="H161" s="189"/>
      <c r="I161" s="189"/>
      <c r="J161" s="189"/>
      <c r="K161" s="189"/>
      <c r="L161" s="189"/>
      <c r="M161" s="189"/>
      <c r="N161" s="38"/>
      <c r="O161" s="38"/>
      <c r="P161" s="38"/>
      <c r="AA161" s="126">
        <v>69</v>
      </c>
      <c r="AB161" s="247">
        <v>82950</v>
      </c>
      <c r="AC161" s="246">
        <v>23500</v>
      </c>
      <c r="AD161" s="245">
        <v>24200</v>
      </c>
      <c r="AE161" s="247">
        <v>82950</v>
      </c>
      <c r="AF161" s="247">
        <v>84970</v>
      </c>
      <c r="AG161" s="247">
        <v>87130</v>
      </c>
    </row>
    <row r="162" spans="1:33" ht="39.75" customHeight="1" hidden="1">
      <c r="A162" s="38"/>
      <c r="B162" s="189"/>
      <c r="C162" s="189"/>
      <c r="D162" s="189"/>
      <c r="E162" s="189"/>
      <c r="F162" s="189"/>
      <c r="G162" s="189"/>
      <c r="H162" s="189"/>
      <c r="I162" s="189"/>
      <c r="J162" s="189"/>
      <c r="K162" s="189"/>
      <c r="L162" s="189"/>
      <c r="M162" s="189"/>
      <c r="N162" s="38"/>
      <c r="O162" s="38"/>
      <c r="P162" s="38"/>
      <c r="AA162" s="126">
        <v>70</v>
      </c>
      <c r="AB162" s="247">
        <v>84970</v>
      </c>
      <c r="AC162" s="246">
        <v>24200</v>
      </c>
      <c r="AD162" s="245">
        <v>24900</v>
      </c>
      <c r="AE162" s="247">
        <v>84970</v>
      </c>
      <c r="AF162" s="247">
        <v>87130</v>
      </c>
      <c r="AG162" s="247">
        <v>89290</v>
      </c>
    </row>
    <row r="163" spans="1:33" ht="39.75" customHeight="1" hidden="1">
      <c r="A163" s="38"/>
      <c r="B163" s="189"/>
      <c r="C163" s="189"/>
      <c r="D163" s="189"/>
      <c r="E163" s="189"/>
      <c r="F163" s="189"/>
      <c r="G163" s="189"/>
      <c r="H163" s="189"/>
      <c r="I163" s="189"/>
      <c r="J163" s="189"/>
      <c r="K163" s="189"/>
      <c r="L163" s="189"/>
      <c r="M163" s="189"/>
      <c r="N163" s="38"/>
      <c r="O163" s="38"/>
      <c r="P163" s="38"/>
      <c r="AA163" s="126">
        <v>71</v>
      </c>
      <c r="AB163" s="247">
        <v>87130</v>
      </c>
      <c r="AC163" s="246">
        <v>24900</v>
      </c>
      <c r="AD163" s="245">
        <v>25600</v>
      </c>
      <c r="AE163" s="247">
        <v>87130</v>
      </c>
      <c r="AF163" s="247">
        <v>89290</v>
      </c>
      <c r="AG163" s="247">
        <v>91450</v>
      </c>
    </row>
    <row r="164" spans="1:33" ht="39.75" customHeight="1" hidden="1">
      <c r="A164" s="38"/>
      <c r="B164" s="189"/>
      <c r="C164" s="189"/>
      <c r="D164" s="189"/>
      <c r="E164" s="189"/>
      <c r="F164" s="189"/>
      <c r="G164" s="189"/>
      <c r="H164" s="189"/>
      <c r="I164" s="189"/>
      <c r="J164" s="189"/>
      <c r="K164" s="189"/>
      <c r="L164" s="189"/>
      <c r="M164" s="189"/>
      <c r="N164" s="38"/>
      <c r="O164" s="38"/>
      <c r="P164" s="38"/>
      <c r="AA164" s="126">
        <v>72</v>
      </c>
      <c r="AB164" s="247">
        <v>89290</v>
      </c>
      <c r="AC164" s="246">
        <v>25600</v>
      </c>
      <c r="AD164" s="245">
        <v>26300</v>
      </c>
      <c r="AE164" s="247">
        <v>89290</v>
      </c>
      <c r="AF164" s="247">
        <v>91450</v>
      </c>
      <c r="AG164" s="247">
        <v>93780</v>
      </c>
    </row>
    <row r="165" spans="1:33" ht="39.75" customHeight="1" hidden="1">
      <c r="A165" s="38"/>
      <c r="B165" s="189"/>
      <c r="C165" s="189"/>
      <c r="D165" s="189"/>
      <c r="E165" s="189"/>
      <c r="F165" s="189"/>
      <c r="G165" s="189"/>
      <c r="H165" s="189"/>
      <c r="I165" s="189"/>
      <c r="J165" s="189"/>
      <c r="K165" s="189"/>
      <c r="L165" s="189"/>
      <c r="M165" s="189"/>
      <c r="N165" s="38"/>
      <c r="O165" s="38"/>
      <c r="P165" s="38"/>
      <c r="AA165" s="126">
        <v>73</v>
      </c>
      <c r="AB165" s="247">
        <v>91450</v>
      </c>
      <c r="AC165" s="246">
        <v>26300</v>
      </c>
      <c r="AD165" s="245">
        <v>27000</v>
      </c>
      <c r="AE165" s="247">
        <v>91450</v>
      </c>
      <c r="AF165" s="247">
        <v>93780</v>
      </c>
      <c r="AG165" s="247">
        <v>96110</v>
      </c>
    </row>
    <row r="166" spans="1:33" ht="39.75" customHeight="1" hidden="1">
      <c r="A166" s="38"/>
      <c r="B166" s="189"/>
      <c r="C166" s="189"/>
      <c r="D166" s="189"/>
      <c r="E166" s="189"/>
      <c r="F166" s="189"/>
      <c r="G166" s="189"/>
      <c r="H166" s="189"/>
      <c r="I166" s="189"/>
      <c r="J166" s="189"/>
      <c r="K166" s="189"/>
      <c r="L166" s="189"/>
      <c r="M166" s="189"/>
      <c r="N166" s="38"/>
      <c r="O166" s="38"/>
      <c r="P166" s="38"/>
      <c r="AA166" s="126">
        <v>74</v>
      </c>
      <c r="AB166" s="247">
        <v>93780</v>
      </c>
      <c r="AC166" s="246">
        <v>27000</v>
      </c>
      <c r="AD166" s="245">
        <v>27750</v>
      </c>
      <c r="AE166" s="247">
        <v>93780</v>
      </c>
      <c r="AF166" s="247">
        <v>96110</v>
      </c>
      <c r="AG166" s="247">
        <v>98440</v>
      </c>
    </row>
    <row r="167" spans="1:33" ht="39.75" customHeight="1" hidden="1">
      <c r="A167" s="38"/>
      <c r="B167" s="189"/>
      <c r="C167" s="189"/>
      <c r="D167" s="189"/>
      <c r="E167" s="189"/>
      <c r="F167" s="189"/>
      <c r="G167" s="189"/>
      <c r="H167" s="189"/>
      <c r="I167" s="189"/>
      <c r="J167" s="189"/>
      <c r="K167" s="189"/>
      <c r="L167" s="189"/>
      <c r="M167" s="189"/>
      <c r="N167" s="38"/>
      <c r="O167" s="38"/>
      <c r="P167" s="38"/>
      <c r="AA167" s="126">
        <v>75</v>
      </c>
      <c r="AB167" s="247">
        <v>96110</v>
      </c>
      <c r="AC167" s="246">
        <v>27750</v>
      </c>
      <c r="AD167" s="245">
        <v>28500</v>
      </c>
      <c r="AE167" s="247">
        <v>96110</v>
      </c>
      <c r="AF167" s="247">
        <v>98440</v>
      </c>
      <c r="AG167" s="247">
        <v>100770</v>
      </c>
    </row>
    <row r="168" spans="1:33" ht="39.75" customHeight="1" hidden="1">
      <c r="A168" s="38"/>
      <c r="B168" s="189"/>
      <c r="C168" s="189"/>
      <c r="D168" s="189"/>
      <c r="E168" s="189"/>
      <c r="F168" s="189"/>
      <c r="G168" s="189"/>
      <c r="H168" s="189"/>
      <c r="I168" s="189"/>
      <c r="J168" s="189"/>
      <c r="K168" s="189"/>
      <c r="L168" s="189"/>
      <c r="M168" s="189"/>
      <c r="N168" s="38"/>
      <c r="O168" s="38"/>
      <c r="P168" s="38"/>
      <c r="AA168" s="126">
        <v>76</v>
      </c>
      <c r="AB168" s="247">
        <v>98440</v>
      </c>
      <c r="AC168" s="246">
        <v>28500</v>
      </c>
      <c r="AD168" s="245">
        <v>29250</v>
      </c>
      <c r="AE168" s="247">
        <v>98440</v>
      </c>
      <c r="AF168" s="247">
        <v>100770</v>
      </c>
      <c r="AG168" s="247">
        <v>103290</v>
      </c>
    </row>
    <row r="169" spans="1:33" ht="39.75" customHeight="1" hidden="1">
      <c r="A169" s="38"/>
      <c r="B169" s="189"/>
      <c r="C169" s="189"/>
      <c r="D169" s="189"/>
      <c r="E169" s="189"/>
      <c r="F169" s="189"/>
      <c r="G169" s="189"/>
      <c r="H169" s="189"/>
      <c r="I169" s="189"/>
      <c r="J169" s="189"/>
      <c r="K169" s="189"/>
      <c r="L169" s="189"/>
      <c r="M169" s="189"/>
      <c r="N169" s="38"/>
      <c r="O169" s="38"/>
      <c r="P169" s="38"/>
      <c r="AA169" s="126">
        <v>77</v>
      </c>
      <c r="AB169" s="247">
        <v>100770</v>
      </c>
      <c r="AC169" s="246">
        <v>29250</v>
      </c>
      <c r="AD169" s="245">
        <v>30000</v>
      </c>
      <c r="AE169" s="247">
        <v>100770</v>
      </c>
      <c r="AF169" s="247">
        <v>103290</v>
      </c>
      <c r="AG169" s="247">
        <v>105810</v>
      </c>
    </row>
    <row r="170" spans="1:33" ht="39.75" customHeight="1" hidden="1">
      <c r="A170" s="38"/>
      <c r="B170" s="189"/>
      <c r="C170" s="189"/>
      <c r="D170" s="189"/>
      <c r="E170" s="189"/>
      <c r="F170" s="189"/>
      <c r="G170" s="189"/>
      <c r="H170" s="189"/>
      <c r="I170" s="189"/>
      <c r="J170" s="189"/>
      <c r="K170" s="189"/>
      <c r="L170" s="189"/>
      <c r="M170" s="189"/>
      <c r="N170" s="38"/>
      <c r="O170" s="38"/>
      <c r="P170" s="38"/>
      <c r="AA170" s="126">
        <v>78</v>
      </c>
      <c r="AB170" s="247">
        <v>103290</v>
      </c>
      <c r="AC170" s="246">
        <v>30000</v>
      </c>
      <c r="AD170" s="245">
        <v>30765</v>
      </c>
      <c r="AE170" s="247">
        <v>103290</v>
      </c>
      <c r="AF170" s="247">
        <v>105810</v>
      </c>
      <c r="AG170" s="247">
        <v>108330</v>
      </c>
    </row>
    <row r="171" spans="1:33" ht="39.75" customHeight="1" hidden="1">
      <c r="A171" s="38"/>
      <c r="B171" s="189"/>
      <c r="C171" s="189"/>
      <c r="D171" s="189"/>
      <c r="E171" s="189"/>
      <c r="F171" s="189"/>
      <c r="G171" s="189"/>
      <c r="H171" s="189"/>
      <c r="I171" s="189"/>
      <c r="J171" s="189"/>
      <c r="K171" s="189"/>
      <c r="L171" s="189"/>
      <c r="M171" s="189"/>
      <c r="N171" s="38"/>
      <c r="O171" s="38"/>
      <c r="P171" s="38"/>
      <c r="AA171" s="126">
        <v>79</v>
      </c>
      <c r="AB171" s="247">
        <v>105810</v>
      </c>
      <c r="AC171" s="246">
        <v>30765</v>
      </c>
      <c r="AE171" s="247">
        <v>105810</v>
      </c>
      <c r="AF171" s="247">
        <v>108330</v>
      </c>
      <c r="AG171" s="247">
        <v>110850</v>
      </c>
    </row>
    <row r="172" spans="1:33" ht="39.75" customHeight="1" hidden="1">
      <c r="A172" s="38"/>
      <c r="B172" s="189"/>
      <c r="C172" s="189"/>
      <c r="D172" s="189"/>
      <c r="E172" s="189"/>
      <c r="F172" s="189"/>
      <c r="G172" s="189"/>
      <c r="H172" s="189"/>
      <c r="I172" s="189"/>
      <c r="J172" s="189"/>
      <c r="K172" s="189"/>
      <c r="L172" s="189"/>
      <c r="M172" s="189"/>
      <c r="N172" s="38"/>
      <c r="O172" s="38"/>
      <c r="P172" s="38"/>
      <c r="AA172" s="126">
        <v>80</v>
      </c>
      <c r="AB172" s="247">
        <v>108330</v>
      </c>
      <c r="AC172" s="127"/>
      <c r="AE172" s="247">
        <v>108330</v>
      </c>
      <c r="AF172" s="247">
        <v>110850</v>
      </c>
      <c r="AG172" s="247">
        <v>113370</v>
      </c>
    </row>
    <row r="173" spans="1:33" ht="39.75" customHeight="1" hidden="1">
      <c r="A173" s="38"/>
      <c r="B173" s="189"/>
      <c r="C173" s="189"/>
      <c r="D173" s="189"/>
      <c r="E173" s="189"/>
      <c r="F173" s="189"/>
      <c r="G173" s="189"/>
      <c r="H173" s="189"/>
      <c r="I173" s="189"/>
      <c r="J173" s="189"/>
      <c r="K173" s="189"/>
      <c r="L173" s="189"/>
      <c r="M173" s="189"/>
      <c r="N173" s="38"/>
      <c r="O173" s="38"/>
      <c r="P173" s="38"/>
      <c r="AA173" s="126"/>
      <c r="AB173" s="247">
        <v>110850</v>
      </c>
      <c r="AC173" s="127"/>
      <c r="AE173" s="247">
        <v>110850</v>
      </c>
      <c r="AF173" s="247">
        <v>113370</v>
      </c>
      <c r="AG173" s="247">
        <v>115890</v>
      </c>
    </row>
    <row r="174" spans="1:33" ht="39.75" customHeight="1" hidden="1">
      <c r="A174" s="38"/>
      <c r="B174" s="189"/>
      <c r="C174" s="189"/>
      <c r="D174" s="189"/>
      <c r="E174" s="189"/>
      <c r="F174" s="189"/>
      <c r="G174" s="189"/>
      <c r="H174" s="189"/>
      <c r="I174" s="189"/>
      <c r="J174" s="189"/>
      <c r="K174" s="189"/>
      <c r="L174" s="189"/>
      <c r="M174" s="189"/>
      <c r="N174" s="38"/>
      <c r="O174" s="38"/>
      <c r="P174" s="38"/>
      <c r="AA174" s="126"/>
      <c r="AB174" s="247">
        <v>113370</v>
      </c>
      <c r="AC174" s="127"/>
      <c r="AD174" s="37"/>
      <c r="AE174" s="247">
        <v>113370</v>
      </c>
      <c r="AF174" s="247">
        <v>115890</v>
      </c>
      <c r="AG174" s="274">
        <v>118410</v>
      </c>
    </row>
    <row r="175" spans="1:33" ht="39.75" customHeight="1" hidden="1">
      <c r="A175" s="38"/>
      <c r="B175" s="189"/>
      <c r="C175" s="189"/>
      <c r="D175" s="189"/>
      <c r="E175" s="189"/>
      <c r="F175" s="189"/>
      <c r="G175" s="189"/>
      <c r="H175" s="189"/>
      <c r="I175" s="189"/>
      <c r="J175" s="189"/>
      <c r="K175" s="189"/>
      <c r="L175" s="189"/>
      <c r="M175" s="189"/>
      <c r="N175" s="38"/>
      <c r="O175" s="38"/>
      <c r="P175" s="38"/>
      <c r="AA175" s="126"/>
      <c r="AB175" s="247">
        <v>115890</v>
      </c>
      <c r="AC175" s="127"/>
      <c r="AD175" s="37"/>
      <c r="AE175" s="247">
        <v>115890</v>
      </c>
      <c r="AF175" s="274">
        <v>118410</v>
      </c>
      <c r="AG175" s="274">
        <v>120930</v>
      </c>
    </row>
    <row r="176" spans="1:33" ht="39.75" customHeight="1" hidden="1">
      <c r="A176" s="38"/>
      <c r="B176" s="189"/>
      <c r="C176" s="189"/>
      <c r="D176" s="189"/>
      <c r="E176" s="189"/>
      <c r="F176" s="189"/>
      <c r="G176" s="189"/>
      <c r="H176" s="189"/>
      <c r="I176" s="189"/>
      <c r="J176" s="189"/>
      <c r="K176" s="189"/>
      <c r="L176" s="189"/>
      <c r="M176" s="189"/>
      <c r="N176" s="38"/>
      <c r="O176" s="38"/>
      <c r="P176" s="38"/>
      <c r="AA176" s="126"/>
      <c r="AB176" s="274">
        <v>118410</v>
      </c>
      <c r="AC176" s="127"/>
      <c r="AD176" s="37"/>
      <c r="AE176" s="274">
        <v>118410</v>
      </c>
      <c r="AF176" s="274">
        <v>120930</v>
      </c>
      <c r="AG176" s="274">
        <v>123450</v>
      </c>
    </row>
    <row r="177" spans="1:33" ht="39.75" customHeight="1" hidden="1">
      <c r="A177" s="37"/>
      <c r="B177" s="275"/>
      <c r="C177" s="275"/>
      <c r="D177" s="275"/>
      <c r="E177" s="275"/>
      <c r="F177" s="275"/>
      <c r="G177" s="275"/>
      <c r="H177" s="275"/>
      <c r="I177" s="275"/>
      <c r="J177" s="275"/>
      <c r="K177" s="275"/>
      <c r="L177" s="275"/>
      <c r="M177" s="275"/>
      <c r="N177" s="37"/>
      <c r="O177" s="37"/>
      <c r="AA177" s="126"/>
      <c r="AB177" s="274">
        <v>120930</v>
      </c>
      <c r="AC177" s="127"/>
      <c r="AD177" s="37"/>
      <c r="AE177" s="274">
        <v>120930</v>
      </c>
      <c r="AF177" s="274">
        <v>123450</v>
      </c>
      <c r="AG177" s="274">
        <v>123450</v>
      </c>
    </row>
    <row r="178" spans="1:33" ht="39.75" customHeight="1" hidden="1">
      <c r="A178" s="37"/>
      <c r="B178" s="275"/>
      <c r="C178" s="275"/>
      <c r="D178" s="275"/>
      <c r="E178" s="275"/>
      <c r="F178" s="275"/>
      <c r="G178" s="275"/>
      <c r="H178" s="275"/>
      <c r="I178" s="275"/>
      <c r="J178" s="275"/>
      <c r="K178" s="275"/>
      <c r="L178" s="275"/>
      <c r="M178" s="275"/>
      <c r="N178" s="37"/>
      <c r="O178" s="37"/>
      <c r="AA178" s="126"/>
      <c r="AB178" s="274">
        <v>123450</v>
      </c>
      <c r="AC178" s="127"/>
      <c r="AD178" s="37"/>
      <c r="AE178" s="274">
        <v>123450</v>
      </c>
      <c r="AF178" s="274">
        <v>123450</v>
      </c>
      <c r="AG178" s="274">
        <v>123450</v>
      </c>
    </row>
    <row r="179" spans="1:29" ht="39.75" customHeight="1" hidden="1">
      <c r="A179" s="37"/>
      <c r="B179" s="275"/>
      <c r="C179" s="275"/>
      <c r="D179" s="275"/>
      <c r="E179" s="275"/>
      <c r="F179" s="275"/>
      <c r="G179" s="275"/>
      <c r="H179" s="275"/>
      <c r="I179" s="275"/>
      <c r="J179" s="275"/>
      <c r="K179" s="275"/>
      <c r="L179" s="275"/>
      <c r="M179" s="275"/>
      <c r="N179" s="37"/>
      <c r="O179" s="37"/>
      <c r="AA179" s="126"/>
      <c r="AB179" s="141"/>
      <c r="AC179" s="127"/>
    </row>
    <row r="180" spans="27:29" ht="39.75" customHeight="1" hidden="1">
      <c r="AA180" s="126"/>
      <c r="AB180" s="141">
        <v>22</v>
      </c>
      <c r="AC180" s="127"/>
    </row>
    <row r="181" spans="27:30" ht="39.75" customHeight="1" hidden="1">
      <c r="AA181" s="276" t="s">
        <v>345</v>
      </c>
      <c r="AB181" s="277">
        <f>VLOOKUP(AA182,AA93:AC172,2,0)</f>
        <v>56870</v>
      </c>
      <c r="AC181" s="278" t="s">
        <v>102</v>
      </c>
      <c r="AD181" s="279">
        <f>IF(AA64=13,VLOOKUP(AB181,AC93:AD170,2,0),AB181)</f>
        <v>56870</v>
      </c>
    </row>
    <row r="182" spans="27:29" ht="39.75" customHeight="1" hidden="1">
      <c r="AA182" s="126">
        <v>54</v>
      </c>
      <c r="AB182" s="141">
        <v>54</v>
      </c>
      <c r="AC182" s="127"/>
    </row>
    <row r="183" spans="27:29" ht="39.75" customHeight="1" hidden="1">
      <c r="AA183" s="139"/>
      <c r="AB183" s="200">
        <f>VLOOKUP(AB182,AA93:AC172,2,0)</f>
        <v>56870</v>
      </c>
      <c r="AC183" s="140" t="s">
        <v>108</v>
      </c>
    </row>
  </sheetData>
  <sheetProtection password="F3B7" sheet="1" scenarios="1" selectLockedCells="1"/>
  <mergeCells count="96">
    <mergeCell ref="B2:P2"/>
    <mergeCell ref="B3:P3"/>
    <mergeCell ref="D4:I4"/>
    <mergeCell ref="J4:K4"/>
    <mergeCell ref="L4:P4"/>
    <mergeCell ref="C5:I5"/>
    <mergeCell ref="J5:K5"/>
    <mergeCell ref="L5:P5"/>
    <mergeCell ref="E6:G6"/>
    <mergeCell ref="E7:I7"/>
    <mergeCell ref="D8:G8"/>
    <mergeCell ref="K8:N8"/>
    <mergeCell ref="D9:G9"/>
    <mergeCell ref="J9:K9"/>
    <mergeCell ref="M9:N9"/>
    <mergeCell ref="D10:G10"/>
    <mergeCell ref="J10:K10"/>
    <mergeCell ref="M10:O10"/>
    <mergeCell ref="B11:G11"/>
    <mergeCell ref="I11:P11"/>
    <mergeCell ref="B12:B15"/>
    <mergeCell ref="E12:H15"/>
    <mergeCell ref="I12:I15"/>
    <mergeCell ref="J12:O12"/>
    <mergeCell ref="P12:P15"/>
    <mergeCell ref="J13:M13"/>
    <mergeCell ref="N13:O13"/>
    <mergeCell ref="J14:M14"/>
    <mergeCell ref="N14:O14"/>
    <mergeCell ref="J15:M15"/>
    <mergeCell ref="N15:O15"/>
    <mergeCell ref="B16:P16"/>
    <mergeCell ref="C17:D17"/>
    <mergeCell ref="F17:I17"/>
    <mergeCell ref="J17:K17"/>
    <mergeCell ref="L17:P17"/>
    <mergeCell ref="C18:D18"/>
    <mergeCell ref="E18:I18"/>
    <mergeCell ref="L18:N18"/>
    <mergeCell ref="O18:P18"/>
    <mergeCell ref="C19:D19"/>
    <mergeCell ref="E19:F19"/>
    <mergeCell ref="H19:K19"/>
    <mergeCell ref="N19:O19"/>
    <mergeCell ref="B20:D20"/>
    <mergeCell ref="H20:I20"/>
    <mergeCell ref="L20:O20"/>
    <mergeCell ref="B21:D21"/>
    <mergeCell ref="E21:F21"/>
    <mergeCell ref="G21:L21"/>
    <mergeCell ref="N21:P21"/>
    <mergeCell ref="B22:D22"/>
    <mergeCell ref="E22:F22"/>
    <mergeCell ref="G22:K22"/>
    <mergeCell ref="N22:N35"/>
    <mergeCell ref="O22:P22"/>
    <mergeCell ref="B23:D23"/>
    <mergeCell ref="E23:F23"/>
    <mergeCell ref="G23:K23"/>
    <mergeCell ref="B24:D24"/>
    <mergeCell ref="E24:F24"/>
    <mergeCell ref="G24:K24"/>
    <mergeCell ref="B25:D25"/>
    <mergeCell ref="E25:F25"/>
    <mergeCell ref="G25:K25"/>
    <mergeCell ref="B26:D26"/>
    <mergeCell ref="E26:F26"/>
    <mergeCell ref="G26:K26"/>
    <mergeCell ref="B27:D27"/>
    <mergeCell ref="E27:F27"/>
    <mergeCell ref="G27:K27"/>
    <mergeCell ref="B28:D28"/>
    <mergeCell ref="E28:F28"/>
    <mergeCell ref="G28:K28"/>
    <mergeCell ref="B29:C29"/>
    <mergeCell ref="E29:F29"/>
    <mergeCell ref="G29:K29"/>
    <mergeCell ref="B30:F31"/>
    <mergeCell ref="G30:K30"/>
    <mergeCell ref="G31:H34"/>
    <mergeCell ref="B32:F32"/>
    <mergeCell ref="C33:F33"/>
    <mergeCell ref="K33:M33"/>
    <mergeCell ref="AL33:AL35"/>
    <mergeCell ref="C34:F34"/>
    <mergeCell ref="C35:F35"/>
    <mergeCell ref="G35:H35"/>
    <mergeCell ref="I35:M35"/>
    <mergeCell ref="B36:P36"/>
    <mergeCell ref="A37:Q38"/>
    <mergeCell ref="AL41:AL45"/>
    <mergeCell ref="N56:O56"/>
    <mergeCell ref="S56:U56"/>
    <mergeCell ref="S57:V57"/>
    <mergeCell ref="N58:P58"/>
    <mergeCell ref="S58:U58"/>
  </mergeCells>
  <hyperlinks>
    <hyperlink ref="N21" r:id="rId1" display="www.putta.in"/>
    <hyperlink ref="B30" r:id="rId2" display="www.putta.in                         www.prtunzb.in"/>
    <hyperlink ref="G31" r:id="rId3" display="www.putta.in              www.prtuts.org       www.prtunzb.in"/>
    <hyperlink ref="B36" r:id="rId4" display="www.putta.in          &amp;&amp;&amp;&amp;               www.prtunzb.in"/>
  </hyperlinks>
  <printOptions/>
  <pageMargins left="0.7" right="0.7" top="0.75" bottom="0.75" header="0.5118055555555555" footer="0.5118055555555555"/>
  <pageSetup horizontalDpi="300" verticalDpi="300" orientation="portrait" paperSize="5"/>
  <drawing r:id="rId6"/>
  <legacyDrawing r:id="rId5"/>
</worksheet>
</file>

<file path=xl/worksheets/sheet3.xml><?xml version="1.0" encoding="utf-8"?>
<worksheet xmlns="http://schemas.openxmlformats.org/spreadsheetml/2006/main" xmlns:r="http://schemas.openxmlformats.org/officeDocument/2006/relationships">
  <dimension ref="A1:W28"/>
  <sheetViews>
    <sheetView showGridLines="0" showRowColHeaders="0" zoomScale="85" zoomScaleNormal="85" workbookViewId="0" topLeftCell="A1">
      <selection activeCell="D16" sqref="D16"/>
    </sheetView>
  </sheetViews>
  <sheetFormatPr defaultColWidth="1.1484375" defaultRowHeight="13.5" customHeight="1" zeroHeight="1"/>
  <cols>
    <col min="1" max="1" width="5.00390625" style="280" customWidth="1"/>
    <col min="2" max="2" width="12.57421875" style="280" customWidth="1"/>
    <col min="3" max="3" width="9.57421875" style="281" customWidth="1"/>
    <col min="4" max="4" width="9.00390625" style="281" customWidth="1"/>
    <col min="5" max="5" width="7.7109375" style="281" customWidth="1"/>
    <col min="6" max="6" width="6.140625" style="281" customWidth="1"/>
    <col min="7" max="7" width="5.421875" style="281" customWidth="1"/>
    <col min="8" max="8" width="5.7109375" style="281" customWidth="1"/>
    <col min="9" max="9" width="6.421875" style="281" customWidth="1"/>
    <col min="10" max="11" width="6.8515625" style="281" customWidth="1"/>
    <col min="12" max="12" width="5.421875" style="281" customWidth="1"/>
    <col min="13" max="13" width="6.421875" style="281" customWidth="1"/>
    <col min="14" max="14" width="8.57421875" style="281" customWidth="1"/>
    <col min="15" max="15" width="8.140625" style="281" customWidth="1"/>
    <col min="16" max="16" width="6.57421875" style="281" customWidth="1"/>
    <col min="17" max="17" width="5.28125" style="281" customWidth="1"/>
    <col min="18" max="18" width="5.140625" style="281" customWidth="1"/>
    <col min="19" max="19" width="6.57421875" style="281" customWidth="1"/>
    <col min="20" max="20" width="7.8515625" style="281" customWidth="1"/>
    <col min="21" max="21" width="7.7109375" style="281" customWidth="1"/>
    <col min="22" max="22" width="7.421875" style="281" customWidth="1"/>
    <col min="23" max="16384" width="0" style="280" hidden="1" customWidth="1"/>
  </cols>
  <sheetData>
    <row r="1" spans="1:22" ht="15.75" customHeight="1">
      <c r="A1" s="282">
        <f>DATA!AF58</f>
        <v>0</v>
      </c>
      <c r="B1" s="282"/>
      <c r="C1" s="282"/>
      <c r="D1" s="282"/>
      <c r="E1" s="282"/>
      <c r="F1" s="282"/>
      <c r="G1" s="282"/>
      <c r="H1" s="282"/>
      <c r="I1" s="282"/>
      <c r="J1" s="282"/>
      <c r="K1" s="282"/>
      <c r="L1" s="282"/>
      <c r="M1" s="282"/>
      <c r="N1" s="282"/>
      <c r="O1" s="282"/>
      <c r="P1" s="282"/>
      <c r="Q1" s="282"/>
      <c r="R1" s="282"/>
      <c r="S1" s="282"/>
      <c r="T1" s="282"/>
      <c r="U1" s="282"/>
      <c r="V1" s="282"/>
    </row>
    <row r="2" spans="1:22" ht="2.25" customHeight="1">
      <c r="A2" s="283"/>
      <c r="B2" s="283"/>
      <c r="C2" s="284"/>
      <c r="D2" s="284"/>
      <c r="E2" s="284"/>
      <c r="F2" s="284"/>
      <c r="G2" s="284"/>
      <c r="H2" s="284"/>
      <c r="I2" s="284"/>
      <c r="J2" s="284"/>
      <c r="K2" s="284"/>
      <c r="L2" s="284"/>
      <c r="M2" s="284"/>
      <c r="N2" s="284"/>
      <c r="O2" s="284"/>
      <c r="P2" s="284"/>
      <c r="Q2" s="284"/>
      <c r="R2" s="284"/>
      <c r="S2" s="284"/>
      <c r="T2" s="284"/>
      <c r="U2" s="284"/>
      <c r="V2" s="284"/>
    </row>
    <row r="3" spans="1:22" s="289" customFormat="1" ht="27" customHeight="1">
      <c r="A3" s="285" t="s">
        <v>247</v>
      </c>
      <c r="B3" s="286" t="s">
        <v>248</v>
      </c>
      <c r="C3" s="286" t="s">
        <v>165</v>
      </c>
      <c r="D3" s="286" t="s">
        <v>171</v>
      </c>
      <c r="E3" s="286" t="s">
        <v>174</v>
      </c>
      <c r="F3" s="286" t="s">
        <v>346</v>
      </c>
      <c r="G3" s="286" t="s">
        <v>274</v>
      </c>
      <c r="H3" s="287" t="s">
        <v>347</v>
      </c>
      <c r="I3" s="286" t="s">
        <v>348</v>
      </c>
      <c r="J3" s="286" t="s">
        <v>349</v>
      </c>
      <c r="K3" s="286" t="s">
        <v>350</v>
      </c>
      <c r="L3" s="286" t="s">
        <v>250</v>
      </c>
      <c r="M3" s="286" t="s">
        <v>269</v>
      </c>
      <c r="N3" s="286" t="s">
        <v>276</v>
      </c>
      <c r="O3" s="286">
        <f>DATA!AB34</f>
        <v>0</v>
      </c>
      <c r="P3" s="286" t="s">
        <v>351</v>
      </c>
      <c r="Q3" s="286" t="s">
        <v>352</v>
      </c>
      <c r="R3" s="286" t="s">
        <v>353</v>
      </c>
      <c r="S3" s="286" t="s">
        <v>354</v>
      </c>
      <c r="T3" s="286" t="s">
        <v>355</v>
      </c>
      <c r="U3" s="288" t="s">
        <v>356</v>
      </c>
      <c r="V3" s="286" t="s">
        <v>357</v>
      </c>
    </row>
    <row r="4" spans="1:23" ht="17.25" customHeight="1">
      <c r="A4" s="290">
        <v>1</v>
      </c>
      <c r="B4" s="291">
        <f>DATA!AO29</f>
        <v>0</v>
      </c>
      <c r="C4" s="292">
        <f>DATA!AP29</f>
        <v>56870</v>
      </c>
      <c r="D4" s="292">
        <f aca="true" t="shared" si="0" ref="D4:D9">ROUND(C4*8.908/100,0.1)</f>
        <v>5066</v>
      </c>
      <c r="E4" s="292">
        <f>IF(AND(DATA!P42=30,ROUND(C4*DATA!P42/100,0.1)&gt;20000),20000,IF(AND(DATA!P42=30,ROUND(C4*DATA!P42/100,0.1)&lt;=20000),ROUND(C4*DATA!P42/100,0.1),IF(AND(DATA!P42&lt;30,ROUND(C4*DATA!P42/100,0.1)&gt;15000),15000,IF(AND(DATA!P42&lt;30,ROUND(C4*DATA!P42/100,0.1)&lt;=15000),ROUND(C4*DATA!P42/100,0.1)))))</f>
        <v>6824</v>
      </c>
      <c r="F4" s="292">
        <f>DATA!J6</f>
        <v>700</v>
      </c>
      <c r="G4" s="292">
        <f>DATA!AC40</f>
        <v>0</v>
      </c>
      <c r="H4" s="292">
        <f>DATA!L6+DATA!N6</f>
        <v>0</v>
      </c>
      <c r="I4" s="292">
        <v>0</v>
      </c>
      <c r="J4" s="292">
        <f>DATA!P6</f>
        <v>0</v>
      </c>
      <c r="K4" s="292">
        <v>0</v>
      </c>
      <c r="L4" s="292">
        <f>DATA!R42</f>
        <v>0</v>
      </c>
      <c r="M4" s="293">
        <f>IF(AND(DATA!$AC$59=2),0,IF(AND(ROUND(C4/10,0.1)&lt;900),(ROUND(C4/10,0.1)),IF(AND(ROUND(C4/10,0.1)&gt;900),900)))</f>
        <v>0</v>
      </c>
      <c r="N4" s="292">
        <f aca="true" t="shared" si="1" ref="N4:N22">SUM(C4:M4)</f>
        <v>69460</v>
      </c>
      <c r="O4" s="292">
        <f>IF(AND(DATA!AA34=3),ROUND('Annexure -I'!C4/10,0.1)+ROUND('Annexure -I'!D4/10,0.1),DATA!S42)</f>
        <v>6194</v>
      </c>
      <c r="P4" s="292">
        <f>DATA!T42</f>
        <v>1000</v>
      </c>
      <c r="Q4" s="292">
        <f>DATA!AE22</f>
        <v>60</v>
      </c>
      <c r="R4" s="294">
        <f>IF(AND(DATA!AC59=1),0,IF(AND(N4&gt;5000,N4&lt;=6000),60,IF(AND(N4&gt;6000,N4&lt;=10000),80,IF(AND(N4&gt;10000,N4&lt;=15000),100,IF(AND(N4&gt;15000,N4&lt;=20000),150,IF(AND(N4&gt;20000),200))))))</f>
        <v>200</v>
      </c>
      <c r="S4" s="294">
        <f>DATA!P23</f>
        <v>0</v>
      </c>
      <c r="T4" s="292">
        <f>DATA!E20</f>
        <v>0</v>
      </c>
      <c r="U4" s="292">
        <f>IF(DATA!H46=1,50,20)</f>
        <v>20</v>
      </c>
      <c r="V4" s="292">
        <f aca="true" t="shared" si="2" ref="V4:V22">SUM(O4:U4)</f>
        <v>7474</v>
      </c>
      <c r="W4" s="281"/>
    </row>
    <row r="5" spans="1:23" ht="17.25" customHeight="1">
      <c r="A5" s="290">
        <v>2</v>
      </c>
      <c r="B5" s="291">
        <f>DATA!AO31</f>
        <v>0</v>
      </c>
      <c r="C5" s="292">
        <f>DATA!AP31</f>
        <v>56870</v>
      </c>
      <c r="D5" s="292">
        <f t="shared" si="0"/>
        <v>5066</v>
      </c>
      <c r="E5" s="292">
        <f>IF(AND(DATA!P43=30,ROUND(C5*DATA!P43/100,0.1)&gt;20000),20000,IF(AND(DATA!P43=30,ROUND(C5*DATA!P43/100,0.1)&lt;=20000),ROUND(C5*DATA!P43/100,0.1),IF(AND(DATA!P43&lt;30,ROUND(C5*DATA!P43/100,0.1)&gt;15000),15000,IF(AND(DATA!P43&lt;30,ROUND(C5*DATA!P43/100,0.1)&lt;=15000),ROUND(C5*DATA!P43/100,0.1)))))</f>
        <v>6824</v>
      </c>
      <c r="F5" s="292">
        <f aca="true" t="shared" si="3" ref="F5:F15">F4</f>
        <v>700</v>
      </c>
      <c r="G5" s="292">
        <f aca="true" t="shared" si="4" ref="G5:G15">G4</f>
        <v>0</v>
      </c>
      <c r="H5" s="292">
        <f aca="true" t="shared" si="5" ref="H5:H15">H4+I4</f>
        <v>0</v>
      </c>
      <c r="I5" s="292">
        <v>0</v>
      </c>
      <c r="J5" s="292">
        <f aca="true" t="shared" si="6" ref="J5:J15">J4</f>
        <v>0</v>
      </c>
      <c r="K5" s="292">
        <v>0</v>
      </c>
      <c r="L5" s="292">
        <f>DATA!R43</f>
        <v>0</v>
      </c>
      <c r="M5" s="293">
        <f>IF(AND(DATA!$AC$59=2),0,IF(AND(ROUND(C5/10,0.1)&lt;900),(ROUND(C5/10,0.1)),IF(AND(ROUND(C5/10,0.1)&gt;900),900)))</f>
        <v>0</v>
      </c>
      <c r="N5" s="292">
        <f t="shared" si="1"/>
        <v>69460</v>
      </c>
      <c r="O5" s="292">
        <f>IF(AND(DATA!AA34=3),ROUND('Annexure -I'!C5/10,0.1)+ROUND('Annexure -I'!D5/10,0.1),DATA!$S$43)</f>
        <v>6194</v>
      </c>
      <c r="P5" s="292">
        <f>DATA!T43</f>
        <v>1000</v>
      </c>
      <c r="Q5" s="292">
        <f aca="true" t="shared" si="7" ref="Q5:Q15">Q4</f>
        <v>60</v>
      </c>
      <c r="R5" s="294">
        <f>IF(AND(DATA!AC59=1),0,IF(AND(N5&gt;5000,N5&lt;=6000),60,IF(AND(N5&gt;6000,N5&lt;=10000),80,IF(AND(N5&gt;10000,N5&lt;=15000),100,IF(AND(N5&gt;15000,N5&lt;=20000),150,IF(AND(N5&gt;20000),200))))))</f>
        <v>200</v>
      </c>
      <c r="S5" s="294">
        <f>DATA!P24</f>
        <v>0</v>
      </c>
      <c r="T5" s="292">
        <f aca="true" t="shared" si="8" ref="T5:T15">T4</f>
        <v>0</v>
      </c>
      <c r="U5" s="292">
        <v>0</v>
      </c>
      <c r="V5" s="292">
        <f t="shared" si="2"/>
        <v>7454</v>
      </c>
      <c r="W5" s="281"/>
    </row>
    <row r="6" spans="1:23" ht="17.25" customHeight="1">
      <c r="A6" s="290">
        <v>3</v>
      </c>
      <c r="B6" s="291">
        <f>DATA!AO32</f>
        <v>0</v>
      </c>
      <c r="C6" s="292">
        <f>DATA!AP32</f>
        <v>56870</v>
      </c>
      <c r="D6" s="292">
        <f t="shared" si="0"/>
        <v>5066</v>
      </c>
      <c r="E6" s="292">
        <f>IF(AND(DATA!P44=30,ROUND(C6*DATA!P44/100,0.1)&gt;20000),20000,IF(AND(DATA!P44=30,ROUND(C6*DATA!P44/100,0.1)&lt;=20000),ROUND(C6*DATA!P44/100,0.1),IF(AND(DATA!P44&lt;30,ROUND(C6*DATA!P44/100,0.1)&gt;15000),15000,IF(AND(DATA!P44&lt;30,ROUND(C6*DATA!P44/100,0.1)&lt;=15000),ROUND(C6*DATA!P44/100,0.1)))))</f>
        <v>6824</v>
      </c>
      <c r="F6" s="292">
        <f t="shared" si="3"/>
        <v>700</v>
      </c>
      <c r="G6" s="292">
        <f t="shared" si="4"/>
        <v>0</v>
      </c>
      <c r="H6" s="292">
        <f t="shared" si="5"/>
        <v>0</v>
      </c>
      <c r="I6" s="292">
        <v>0</v>
      </c>
      <c r="J6" s="292">
        <f t="shared" si="6"/>
        <v>0</v>
      </c>
      <c r="K6" s="292">
        <v>0</v>
      </c>
      <c r="L6" s="292">
        <f>DATA!R44</f>
        <v>0</v>
      </c>
      <c r="M6" s="293">
        <f>IF(AND(DATA!$AC$59=2),0,IF(AND(ROUND(C6/10,0.1)&lt;900),(ROUND(C6/10,0.1)),IF(AND(ROUND(C6/10,0.1)&gt;900),900)))</f>
        <v>0</v>
      </c>
      <c r="N6" s="292">
        <f t="shared" si="1"/>
        <v>69460</v>
      </c>
      <c r="O6" s="292">
        <f>IF(AND(DATA!AA34=3),ROUND('Annexure -I'!C6/10,0.1)+ROUND('Annexure -I'!D6/10,0.1),DATA!$S$44)</f>
        <v>6194</v>
      </c>
      <c r="P6" s="292">
        <f>DATA!T44</f>
        <v>1000</v>
      </c>
      <c r="Q6" s="292">
        <f t="shared" si="7"/>
        <v>60</v>
      </c>
      <c r="R6" s="294">
        <f>IF(AND(DATA!AC59=1),0,IF(AND(N6&gt;5000,N6&lt;=6000),60,IF(AND(N6&gt;6000,N6&lt;=10000),80,IF(AND(N6&gt;10000,N6&lt;=15000),100,IF(AND(N6&gt;15000,N6&lt;=20000),150,IF(AND(N6&gt;20000),200))))))</f>
        <v>200</v>
      </c>
      <c r="S6" s="294">
        <f>DATA!P25</f>
        <v>0</v>
      </c>
      <c r="T6" s="292">
        <f t="shared" si="8"/>
        <v>0</v>
      </c>
      <c r="U6" s="292">
        <v>0</v>
      </c>
      <c r="V6" s="292">
        <f t="shared" si="2"/>
        <v>7454</v>
      </c>
      <c r="W6" s="281"/>
    </row>
    <row r="7" spans="1:23" ht="17.25" customHeight="1">
      <c r="A7" s="290">
        <v>4</v>
      </c>
      <c r="B7" s="291">
        <f>DATA!AO33</f>
        <v>0</v>
      </c>
      <c r="C7" s="292">
        <f>DATA!AP33</f>
        <v>56870</v>
      </c>
      <c r="D7" s="292">
        <f t="shared" si="0"/>
        <v>5066</v>
      </c>
      <c r="E7" s="292">
        <f>IF(AND(DATA!P45=30,ROUND(C7*DATA!P45/100,0.1)&gt;20000),20000,IF(AND(DATA!P45=30,ROUND(C7*DATA!P45/100,0.1)&lt;=20000),ROUND(C7*DATA!P45/100,0.1),IF(AND(DATA!P45&lt;30,ROUND(C7*DATA!P45/100,0.1)&gt;15000),15000,IF(AND(DATA!P45&lt;30,ROUND(C7*DATA!P45/100,0.1)&lt;=15000),ROUND(C7*DATA!P45/100,0.1)))))</f>
        <v>6824</v>
      </c>
      <c r="F7" s="292">
        <f t="shared" si="3"/>
        <v>700</v>
      </c>
      <c r="G7" s="292">
        <f t="shared" si="4"/>
        <v>0</v>
      </c>
      <c r="H7" s="292">
        <f t="shared" si="5"/>
        <v>0</v>
      </c>
      <c r="I7" s="292">
        <v>0</v>
      </c>
      <c r="J7" s="292">
        <f t="shared" si="6"/>
        <v>0</v>
      </c>
      <c r="K7" s="292">
        <v>0</v>
      </c>
      <c r="L7" s="292">
        <f>DATA!R45</f>
        <v>0</v>
      </c>
      <c r="M7" s="293">
        <f>IF(AND(DATA!$AC$59=2),0,IF(AND(ROUND(C7/10,0.1)&lt;900),(ROUND(C7/10,0.1)),IF(AND(ROUND(C7/10,0.1)&gt;900),900)))</f>
        <v>0</v>
      </c>
      <c r="N7" s="292">
        <f t="shared" si="1"/>
        <v>69460</v>
      </c>
      <c r="O7" s="292">
        <f>IF(AND(DATA!AA34=3),ROUND('Annexure -I'!C7/10,0.1)+ROUND('Annexure -I'!D7/10,0.1),DATA!$S$45)</f>
        <v>6194</v>
      </c>
      <c r="P7" s="292">
        <f>DATA!T45</f>
        <v>1000</v>
      </c>
      <c r="Q7" s="292">
        <f t="shared" si="7"/>
        <v>60</v>
      </c>
      <c r="R7" s="294">
        <f>IF(AND(DATA!AC59=1),0,IF(AND(N7&gt;5000,N7&lt;=6000),60,IF(AND(N7&gt;6000,N7&lt;=10000),80,IF(AND(N7&gt;10000,N7&lt;=15000),100,IF(AND(N7&gt;15000,N7&lt;=20000),150,IF(AND(N7&gt;20000),200))))))</f>
        <v>200</v>
      </c>
      <c r="S7" s="294">
        <f>DATA!P26</f>
        <v>0</v>
      </c>
      <c r="T7" s="292">
        <f t="shared" si="8"/>
        <v>0</v>
      </c>
      <c r="U7" s="292">
        <v>0</v>
      </c>
      <c r="V7" s="292">
        <f t="shared" si="2"/>
        <v>7454</v>
      </c>
      <c r="W7" s="281"/>
    </row>
    <row r="8" spans="1:23" ht="17.25" customHeight="1">
      <c r="A8" s="290">
        <v>5</v>
      </c>
      <c r="B8" s="291">
        <f>DATA!AO34</f>
        <v>0</v>
      </c>
      <c r="C8" s="292">
        <f>DATA!AP34</f>
        <v>56870</v>
      </c>
      <c r="D8" s="292">
        <f t="shared" si="0"/>
        <v>5066</v>
      </c>
      <c r="E8" s="292">
        <f>IF(AND(DATA!P46=30,ROUND(C8*DATA!P46/100,0.1)&gt;20000),20000,IF(AND(DATA!P46=30,ROUND(C8*DATA!P46/100,0.1)&lt;=20000),ROUND(C8*DATA!P46/100,0.1),IF(AND(DATA!P46&lt;30,ROUND(C8*DATA!P46/100,0.1)&gt;15000),15000,IF(AND(DATA!P46&lt;30,ROUND(C8*DATA!P46/100,0.1)&lt;=15000),ROUND(C8*DATA!P46/100,0.1)))))</f>
        <v>6824</v>
      </c>
      <c r="F8" s="292">
        <f t="shared" si="3"/>
        <v>700</v>
      </c>
      <c r="G8" s="292">
        <f t="shared" si="4"/>
        <v>0</v>
      </c>
      <c r="H8" s="292">
        <f t="shared" si="5"/>
        <v>0</v>
      </c>
      <c r="I8" s="292">
        <v>0</v>
      </c>
      <c r="J8" s="292">
        <f t="shared" si="6"/>
        <v>0</v>
      </c>
      <c r="K8" s="292">
        <v>0</v>
      </c>
      <c r="L8" s="292">
        <f>DATA!R46</f>
        <v>0</v>
      </c>
      <c r="M8" s="293">
        <f>IF(AND(DATA!$AC$59=2),0,IF(AND(ROUND(C8/10,0.1)&lt;2000),(ROUND(C8/10,0.1)),IF(AND(ROUND(C8/10,0.1)&gt;2000),2000)))</f>
        <v>0</v>
      </c>
      <c r="N8" s="292">
        <f t="shared" si="1"/>
        <v>69460</v>
      </c>
      <c r="O8" s="292">
        <f>IF(AND(DATA!AA34=3),ROUND('Annexure -I'!C8/10,0.1)+ROUND('Annexure -I'!D8/10,0.1),DATA!$S$46)</f>
        <v>6194</v>
      </c>
      <c r="P8" s="292">
        <f>DATA!T46</f>
        <v>1000</v>
      </c>
      <c r="Q8" s="292">
        <f t="shared" si="7"/>
        <v>60</v>
      </c>
      <c r="R8" s="294">
        <f>IF(AND(DATA!AC59=1),0,IF(AND(N8&gt;5000,N8&lt;=6000),60,IF(AND(N8&gt;6000,N8&lt;=10000),80,IF(AND(N8&gt;10000,N8&lt;=15000),100,IF(AND(N8&gt;15000,N8&lt;=20000),150,IF(AND(N8&gt;20000),200))))))</f>
        <v>200</v>
      </c>
      <c r="S8" s="294">
        <f>DATA!P27</f>
        <v>0</v>
      </c>
      <c r="T8" s="292">
        <f t="shared" si="8"/>
        <v>0</v>
      </c>
      <c r="U8" s="292">
        <v>0</v>
      </c>
      <c r="V8" s="292">
        <f t="shared" si="2"/>
        <v>7454</v>
      </c>
      <c r="W8" s="281"/>
    </row>
    <row r="9" spans="1:23" ht="17.25" customHeight="1">
      <c r="A9" s="290">
        <v>6</v>
      </c>
      <c r="B9" s="291">
        <f>DATA!AO35</f>
        <v>0</v>
      </c>
      <c r="C9" s="292">
        <f>DATA!AP35</f>
        <v>56870</v>
      </c>
      <c r="D9" s="292">
        <f t="shared" si="0"/>
        <v>5066</v>
      </c>
      <c r="E9" s="292">
        <f>IF(AND(DATA!P47=30,ROUND(C9*DATA!P47/100,0.1)&gt;20000),20000,IF(AND(DATA!P47=30,ROUND(C9*DATA!P47/100,0.1)&lt;=20000),ROUND(C9*DATA!P47/100,0.1),IF(AND(DATA!P47&lt;30,ROUND(C9*DATA!P47/100,0.1)&gt;15000),15000,IF(AND(DATA!P47&lt;30,ROUND(C9*DATA!P47/100,0.1)&lt;=15000),ROUND(C9*DATA!P47/100,0.1)))))</f>
        <v>6824</v>
      </c>
      <c r="F9" s="292">
        <f t="shared" si="3"/>
        <v>700</v>
      </c>
      <c r="G9" s="292">
        <f t="shared" si="4"/>
        <v>0</v>
      </c>
      <c r="H9" s="292">
        <f t="shared" si="5"/>
        <v>0</v>
      </c>
      <c r="I9" s="292">
        <v>0</v>
      </c>
      <c r="J9" s="292">
        <f t="shared" si="6"/>
        <v>0</v>
      </c>
      <c r="K9" s="292">
        <v>0</v>
      </c>
      <c r="L9" s="292">
        <f>DATA!R47</f>
        <v>0</v>
      </c>
      <c r="M9" s="293">
        <f>IF(AND(DATA!$AC$59=2),0,IF(AND(ROUND(C9/10,0.1)&lt;2000),(ROUND(C9/10,0.1)),IF(AND(ROUND(C9/10,0.1)&gt;2000),2000)))</f>
        <v>0</v>
      </c>
      <c r="N9" s="292">
        <f t="shared" si="1"/>
        <v>69460</v>
      </c>
      <c r="O9" s="292">
        <f>IF(AND(DATA!AA34=3),ROUND('Annexure -I'!C9/10,0.1)+ROUND('Annexure -I'!D9/10,0.1),DATA!$S$47)</f>
        <v>6194</v>
      </c>
      <c r="P9" s="292">
        <f>DATA!T47</f>
        <v>1000</v>
      </c>
      <c r="Q9" s="292">
        <f t="shared" si="7"/>
        <v>60</v>
      </c>
      <c r="R9" s="294">
        <f>IF(AND(DATA!AC59=1),0,IF(AND(N9&gt;5000,N9&lt;=6000),60,IF(AND(N9&gt;6000,N9&lt;=10000),80,IF(AND(N9&gt;10000,N9&lt;=15000),100,IF(AND(N9&gt;15000,N9&lt;=20000),150,IF(AND(N9&gt;20000),200))))))</f>
        <v>200</v>
      </c>
      <c r="S9" s="294">
        <f>DATA!P28</f>
        <v>0</v>
      </c>
      <c r="T9" s="292">
        <f t="shared" si="8"/>
        <v>0</v>
      </c>
      <c r="U9" s="292">
        <v>0</v>
      </c>
      <c r="V9" s="292">
        <f t="shared" si="2"/>
        <v>7454</v>
      </c>
      <c r="W9" s="281"/>
    </row>
    <row r="10" spans="1:23" ht="17.25" customHeight="1">
      <c r="A10" s="290">
        <v>7</v>
      </c>
      <c r="B10" s="291">
        <f>DATA!AO36</f>
        <v>0</v>
      </c>
      <c r="C10" s="292">
        <f>DATA!AP36</f>
        <v>56870</v>
      </c>
      <c r="D10" s="292">
        <f aca="true" t="shared" si="9" ref="D10:D14">ROUND(C10*12.052/100,0.1)</f>
        <v>6854</v>
      </c>
      <c r="E10" s="292">
        <f>IF(AND(DATA!P48=30,ROUND(C10*DATA!P48/100,0.1)&gt;20000),20000,IF(AND(DATA!P48=30,ROUND(C10*DATA!P48/100,0.1)&lt;=20000),ROUND(C10*DATA!P48/100,0.1),IF(AND(DATA!P48&lt;30,ROUND(C10*DATA!P48/100,0.1)&gt;15000),15000,IF(AND(DATA!P48&lt;30,ROUND(C10*DATA!P48/100,0.1)&lt;=15000),ROUND(C10*DATA!P48/100,0.1)))))</f>
        <v>6824</v>
      </c>
      <c r="F10" s="292">
        <f t="shared" si="3"/>
        <v>700</v>
      </c>
      <c r="G10" s="292">
        <f t="shared" si="4"/>
        <v>0</v>
      </c>
      <c r="H10" s="292">
        <f t="shared" si="5"/>
        <v>0</v>
      </c>
      <c r="I10" s="292">
        <v>0</v>
      </c>
      <c r="J10" s="292">
        <f t="shared" si="6"/>
        <v>0</v>
      </c>
      <c r="K10" s="292">
        <v>0</v>
      </c>
      <c r="L10" s="292">
        <f>DATA!R48</f>
        <v>0</v>
      </c>
      <c r="M10" s="293">
        <f>IF(AND(DATA!$AC$59=2),0,IF(AND(ROUND(C10/10,0.1)&lt;2000),(ROUND(C10/10,0.1)),IF(AND(ROUND(C10/10,0.1)&gt;2000),2000)))</f>
        <v>0</v>
      </c>
      <c r="N10" s="292">
        <f t="shared" si="1"/>
        <v>71248</v>
      </c>
      <c r="O10" s="292">
        <f>IF(AND(DATA!AA34=3),ROUND('Annexure -I'!C10/10,0.1)+ROUND('Annexure -I'!D10/10,0.1),DATA!$S$48)</f>
        <v>6372</v>
      </c>
      <c r="P10" s="292">
        <f>DATA!T48</f>
        <v>1000</v>
      </c>
      <c r="Q10" s="292">
        <f t="shared" si="7"/>
        <v>60</v>
      </c>
      <c r="R10" s="294">
        <f>IF(AND(DATA!AC59=1),0,IF(AND(N10&gt;5000,N10&lt;=6000),60,IF(AND(N10&gt;6000,N10&lt;=10000),80,IF(AND(N10&gt;10000,N10&lt;=15000),100,IF(AND(N10&gt;15000,N10&lt;=20000),150,IF(AND(N10&gt;20000),200))))))</f>
        <v>200</v>
      </c>
      <c r="S10" s="294">
        <f>DATA!P29</f>
        <v>0</v>
      </c>
      <c r="T10" s="292">
        <f t="shared" si="8"/>
        <v>0</v>
      </c>
      <c r="U10" s="292">
        <v>0</v>
      </c>
      <c r="V10" s="292">
        <f t="shared" si="2"/>
        <v>7632</v>
      </c>
      <c r="W10" s="281"/>
    </row>
    <row r="11" spans="1:23" ht="17.25" customHeight="1">
      <c r="A11" s="290">
        <v>8</v>
      </c>
      <c r="B11" s="291">
        <f>DATA!AO37</f>
        <v>0</v>
      </c>
      <c r="C11" s="292">
        <f>DATA!AP37</f>
        <v>58330</v>
      </c>
      <c r="D11" s="292">
        <f t="shared" si="9"/>
        <v>7030</v>
      </c>
      <c r="E11" s="292">
        <f>IF(AND(DATA!P49=30,ROUND(C11*DATA!P49/100,0.1)&gt;20000),20000,IF(AND(DATA!P49=30,ROUND(C11*DATA!P49/100,0.1)&lt;=20000),ROUND(C11*DATA!P49/100,0.1),IF(AND(DATA!P49&lt;30,ROUND(C11*DATA!P49/100,0.1)&gt;15000),15000,IF(AND(DATA!P49&lt;30,ROUND(C11*DATA!P49/100,0.1)&lt;=15000),ROUND(C11*DATA!P49/100,0.1)))))</f>
        <v>7000</v>
      </c>
      <c r="F11" s="292">
        <f t="shared" si="3"/>
        <v>700</v>
      </c>
      <c r="G11" s="292">
        <f t="shared" si="4"/>
        <v>0</v>
      </c>
      <c r="H11" s="292">
        <f t="shared" si="5"/>
        <v>0</v>
      </c>
      <c r="I11" s="292">
        <v>0</v>
      </c>
      <c r="J11" s="292">
        <f t="shared" si="6"/>
        <v>0</v>
      </c>
      <c r="K11" s="292">
        <v>0</v>
      </c>
      <c r="L11" s="292">
        <f>DATA!R49</f>
        <v>0</v>
      </c>
      <c r="M11" s="293">
        <f>IF(AND(DATA!$AC$59=2),0,IF(AND(ROUND(C11/10,0.1)&lt;2000),(ROUND(C11/10,0.1)),IF(AND(ROUND(C11/10,0.1)&gt;2000),2000)))</f>
        <v>0</v>
      </c>
      <c r="N11" s="292">
        <f t="shared" si="1"/>
        <v>73060</v>
      </c>
      <c r="O11" s="292">
        <f>IF(AND(DATA!AA34=3),ROUND('Annexure -I'!C11/10,0.1)+ROUND('Annexure -I'!D11/10,0.1),DATA!$S$49)</f>
        <v>6536</v>
      </c>
      <c r="P11" s="292">
        <f>DATA!T49</f>
        <v>1000</v>
      </c>
      <c r="Q11" s="292">
        <f t="shared" si="7"/>
        <v>60</v>
      </c>
      <c r="R11" s="294">
        <f>IF(AND(DATA!AC59=1),0,IF(AND(N11&gt;5000,N11&lt;=6000),60,IF(AND(N11&gt;6000,N11&lt;=10000),80,IF(AND(N11&gt;10000,N11&lt;=15000),100,IF(AND(N11&gt;15000,N11&lt;=20000),150,IF(AND(N11&gt;20000),200))))))</f>
        <v>200</v>
      </c>
      <c r="S11" s="294">
        <f>DATA!P30</f>
        <v>0</v>
      </c>
      <c r="T11" s="292">
        <f t="shared" si="8"/>
        <v>0</v>
      </c>
      <c r="U11" s="292">
        <v>0</v>
      </c>
      <c r="V11" s="292">
        <f t="shared" si="2"/>
        <v>7796</v>
      </c>
      <c r="W11" s="281"/>
    </row>
    <row r="12" spans="1:23" ht="17.25" customHeight="1">
      <c r="A12" s="290">
        <v>9</v>
      </c>
      <c r="B12" s="291">
        <f>DATA!AO38</f>
        <v>0</v>
      </c>
      <c r="C12" s="292">
        <f>DATA!AP38</f>
        <v>58330</v>
      </c>
      <c r="D12" s="292">
        <f t="shared" si="9"/>
        <v>7030</v>
      </c>
      <c r="E12" s="292">
        <f>IF(AND(DATA!P50=30,ROUND(C12*DATA!P50/100,0.1)&gt;20000),20000,IF(AND(DATA!P50=30,ROUND(C12*DATA!P50/100,0.1)&lt;=20000),ROUND(C12*DATA!P50/100,0.1),IF(AND(DATA!P50&lt;30,ROUND(C12*DATA!P50/100,0.1)&gt;15000),15000,IF(AND(DATA!P50&lt;30,ROUND(C12*DATA!P50/100,0.1)&lt;=15000),ROUND(C12*DATA!P50/100,0.1)))))</f>
        <v>7000</v>
      </c>
      <c r="F12" s="292">
        <f t="shared" si="3"/>
        <v>700</v>
      </c>
      <c r="G12" s="292">
        <f t="shared" si="4"/>
        <v>0</v>
      </c>
      <c r="H12" s="292">
        <f t="shared" si="5"/>
        <v>0</v>
      </c>
      <c r="I12" s="292">
        <v>0</v>
      </c>
      <c r="J12" s="292">
        <f t="shared" si="6"/>
        <v>0</v>
      </c>
      <c r="K12" s="292">
        <v>0</v>
      </c>
      <c r="L12" s="292">
        <f>DATA!R50</f>
        <v>0</v>
      </c>
      <c r="M12" s="293">
        <f>IF(AND(DATA!$AC$59=2),0,IF(AND(ROUND(C12/10,0.1)&lt;2000),(ROUND(C12/10,0.1)),IF(AND(ROUND(C12/10,0.1)&gt;2000),2000)))</f>
        <v>0</v>
      </c>
      <c r="N12" s="292">
        <f t="shared" si="1"/>
        <v>73060</v>
      </c>
      <c r="O12" s="292">
        <f>IF(AND(DATA!AA34=3),ROUND('Annexure -I'!C12/10,0.1)+ROUND('Annexure -I'!D12/10,0.1),DATA!$S$50)</f>
        <v>6536</v>
      </c>
      <c r="P12" s="292">
        <f>DATA!T50</f>
        <v>1000</v>
      </c>
      <c r="Q12" s="292">
        <f t="shared" si="7"/>
        <v>60</v>
      </c>
      <c r="R12" s="294">
        <f>IF(AND(DATA!AC59=1),0,IF(AND(N12&gt;5000,N12&lt;=6000),60,IF(AND(N12&gt;6000,N12&lt;=10000),80,IF(AND(N12&gt;10000,N12&lt;=15000),100,IF(AND(N12&gt;15000,N12&lt;=20000),150,IF(AND(N12&gt;20000),200))))))</f>
        <v>200</v>
      </c>
      <c r="S12" s="294">
        <f>DATA!P31</f>
        <v>0</v>
      </c>
      <c r="T12" s="292">
        <f t="shared" si="8"/>
        <v>0</v>
      </c>
      <c r="U12" s="292">
        <v>0</v>
      </c>
      <c r="V12" s="292">
        <f t="shared" si="2"/>
        <v>7796</v>
      </c>
      <c r="W12" s="281"/>
    </row>
    <row r="13" spans="1:23" ht="17.25" customHeight="1">
      <c r="A13" s="290">
        <v>10</v>
      </c>
      <c r="B13" s="291">
        <f>DATA!AO39</f>
        <v>0</v>
      </c>
      <c r="C13" s="292">
        <f>DATA!AP39</f>
        <v>58330</v>
      </c>
      <c r="D13" s="292">
        <f t="shared" si="9"/>
        <v>7030</v>
      </c>
      <c r="E13" s="292">
        <f>IF(AND(DATA!P51=30,ROUND(C13*DATA!P51/100,0.1)&gt;20000),20000,IF(AND(DATA!P51=30,ROUND(C13*DATA!P51/100,0.1)&lt;=20000),ROUND(C13*DATA!P51/100,0.1),IF(AND(DATA!P51&lt;30,ROUND(C13*DATA!P51/100,0.1)&gt;15000),15000,IF(AND(DATA!P51&lt;30,ROUND(C13*DATA!P51/100,0.1)&lt;=15000),ROUND(C13*DATA!P51/100,0.1)))))</f>
        <v>7000</v>
      </c>
      <c r="F13" s="292">
        <f t="shared" si="3"/>
        <v>700</v>
      </c>
      <c r="G13" s="292">
        <f t="shared" si="4"/>
        <v>0</v>
      </c>
      <c r="H13" s="292">
        <f t="shared" si="5"/>
        <v>0</v>
      </c>
      <c r="I13" s="292">
        <v>0</v>
      </c>
      <c r="J13" s="292">
        <f t="shared" si="6"/>
        <v>0</v>
      </c>
      <c r="K13" s="292">
        <v>0</v>
      </c>
      <c r="L13" s="292">
        <f>DATA!R51</f>
        <v>0</v>
      </c>
      <c r="M13" s="293">
        <f>IF(AND(DATA!$AC$59=2),0,IF(AND(ROUND(C13/10,0.1)&lt;2000),(ROUND(C13/10,0.1)),IF(AND(ROUND(C13/10,0.1)&gt;2000),2000)))</f>
        <v>0</v>
      </c>
      <c r="N13" s="292">
        <f t="shared" si="1"/>
        <v>73060</v>
      </c>
      <c r="O13" s="292">
        <f>IF(AND(DATA!AA34=3),ROUND('Annexure -I'!C13/10,0.1)+ROUND('Annexure -I'!D13/10,0.1),DATA!$S$51)</f>
        <v>6536</v>
      </c>
      <c r="P13" s="292">
        <f>DATA!T51</f>
        <v>1000</v>
      </c>
      <c r="Q13" s="292">
        <f t="shared" si="7"/>
        <v>60</v>
      </c>
      <c r="R13" s="294">
        <f>IF(AND(DATA!AC59=1),0,IF(AND(N13&gt;5000,N13&lt;=6000),60,IF(AND(N13&gt;6000,N13&lt;=10000),80,IF(AND(N13&gt;10000,N13&lt;=15000),100,IF(AND(N13&gt;15000,N13&lt;=20000),150,IF(AND(N13&gt;20000),200))))))</f>
        <v>200</v>
      </c>
      <c r="S13" s="294">
        <f>DATA!P32</f>
        <v>0</v>
      </c>
      <c r="T13" s="292">
        <f t="shared" si="8"/>
        <v>0</v>
      </c>
      <c r="U13" s="292">
        <f>IF(DATA!H46=1,200,100)</f>
        <v>100</v>
      </c>
      <c r="V13" s="292">
        <f t="shared" si="2"/>
        <v>7896</v>
      </c>
      <c r="W13" s="281"/>
    </row>
    <row r="14" spans="1:23" ht="17.25" customHeight="1">
      <c r="A14" s="290">
        <v>11</v>
      </c>
      <c r="B14" s="291">
        <f>DATA!AO40</f>
        <v>0</v>
      </c>
      <c r="C14" s="292">
        <f>DATA!AP40</f>
        <v>58330</v>
      </c>
      <c r="D14" s="292">
        <f t="shared" si="9"/>
        <v>7030</v>
      </c>
      <c r="E14" s="292">
        <f>IF(AND(DATA!P52=30,ROUND(C14*DATA!P52/100,0.1)&gt;20000),20000,IF(AND(DATA!P52=30,ROUND(C14*DATA!P52/100,0.1)&lt;=20000),ROUND(C14*DATA!P52/100,0.1),IF(AND(DATA!P52&lt;30,ROUND(C14*DATA!P52/100,0.1)&gt;15000),15000,IF(AND(DATA!P52&lt;30,ROUND(C14*DATA!P52/100,0.1)&lt;=15000),ROUND(C14*DATA!P52/100,0.1)))))</f>
        <v>7000</v>
      </c>
      <c r="F14" s="292">
        <f t="shared" si="3"/>
        <v>700</v>
      </c>
      <c r="G14" s="292">
        <f t="shared" si="4"/>
        <v>0</v>
      </c>
      <c r="H14" s="292">
        <f t="shared" si="5"/>
        <v>0</v>
      </c>
      <c r="I14" s="292">
        <v>0</v>
      </c>
      <c r="J14" s="292">
        <f t="shared" si="6"/>
        <v>0</v>
      </c>
      <c r="K14" s="292">
        <v>0</v>
      </c>
      <c r="L14" s="292">
        <f>DATA!R52</f>
        <v>0</v>
      </c>
      <c r="M14" s="293">
        <f>IF(AND(DATA!$AC$59=2),0,IF(AND(ROUND(C14/10,0.1)&lt;2000),(ROUND(C14/10,0.1)),IF(AND(ROUND(C14/10,0.1)&gt;2000),2000)))</f>
        <v>0</v>
      </c>
      <c r="N14" s="292">
        <f t="shared" si="1"/>
        <v>73060</v>
      </c>
      <c r="O14" s="292">
        <f>IF(AND(DATA!AA34=3),ROUND('Annexure -I'!C14/10,0.1)+ROUND('Annexure -I'!D14/10,0.1),DATA!$S$52)</f>
        <v>6536</v>
      </c>
      <c r="P14" s="292">
        <f>DATA!T52</f>
        <v>1000</v>
      </c>
      <c r="Q14" s="292">
        <f t="shared" si="7"/>
        <v>60</v>
      </c>
      <c r="R14" s="294">
        <f>IF(AND(DATA!AC59=1),0,IF(AND(N14&gt;5000,N14&lt;=6000),60,IF(AND(N14&gt;6000,N14&lt;=10000),80,IF(AND(N14&gt;10000,N14&lt;=15000),100,IF(AND(N14&gt;15000,N14&lt;=20000),150,IF(AND(N14&gt;20000),200))))))</f>
        <v>200</v>
      </c>
      <c r="S14" s="294">
        <f>DATA!P33</f>
        <v>0</v>
      </c>
      <c r="T14" s="292">
        <f t="shared" si="8"/>
        <v>0</v>
      </c>
      <c r="U14" s="292">
        <v>0</v>
      </c>
      <c r="V14" s="292">
        <f t="shared" si="2"/>
        <v>7796</v>
      </c>
      <c r="W14" s="281"/>
    </row>
    <row r="15" spans="1:23" ht="17.25" customHeight="1">
      <c r="A15" s="290">
        <v>12</v>
      </c>
      <c r="B15" s="291">
        <f>DATA!AO41</f>
        <v>0</v>
      </c>
      <c r="C15" s="292">
        <f>DATA!AP41</f>
        <v>58330</v>
      </c>
      <c r="D15" s="292">
        <f>IF(DATA!AG64=1,ROUND(C15*15.196/100,0.1),ROUND(C15*12.052/100,0.1))</f>
        <v>7030</v>
      </c>
      <c r="E15" s="292">
        <f>IF(AND(DATA!P53=30,ROUND(C15*DATA!P53/100,0.1)&gt;20000),20000,IF(AND(DATA!P53=30,ROUND(C15*DATA!P53/100,0.1)&lt;=20000),ROUND(C15*DATA!P53/100,0.1),IF(AND(DATA!P53&lt;30,ROUND(C15*DATA!P53/100,0.1)&gt;15000),15000,IF(AND(DATA!P53&lt;30,ROUND(C15*DATA!P53/100,0.1)&lt;=15000),ROUND(C15*DATA!P53/100,0.1)))))</f>
        <v>7000</v>
      </c>
      <c r="F15" s="292">
        <f t="shared" si="3"/>
        <v>700</v>
      </c>
      <c r="G15" s="292">
        <f t="shared" si="4"/>
        <v>0</v>
      </c>
      <c r="H15" s="292">
        <f t="shared" si="5"/>
        <v>0</v>
      </c>
      <c r="I15" s="292">
        <v>0</v>
      </c>
      <c r="J15" s="292">
        <f t="shared" si="6"/>
        <v>0</v>
      </c>
      <c r="K15" s="292">
        <v>0</v>
      </c>
      <c r="L15" s="292">
        <f>DATA!R53</f>
        <v>0</v>
      </c>
      <c r="M15" s="293">
        <f>IF(AND(DATA!$AC$59=2),0,IF(AND(ROUND(C15/10,0.1)&lt;2000),(ROUND(C15/10,0.1)),IF(AND(ROUND(C15/10,0.1)&gt;2000),2000)))</f>
        <v>0</v>
      </c>
      <c r="N15" s="292">
        <f t="shared" si="1"/>
        <v>73060</v>
      </c>
      <c r="O15" s="292">
        <f>IF(AND(DATA!AA34=3),ROUND('Annexure -I'!C15/10,0.1)+ROUND('Annexure -I'!D15/10,0.1),DATA!$S$52)</f>
        <v>6536</v>
      </c>
      <c r="P15" s="292">
        <f>DATA!T53</f>
        <v>1000</v>
      </c>
      <c r="Q15" s="292">
        <f t="shared" si="7"/>
        <v>60</v>
      </c>
      <c r="R15" s="294">
        <f>IF(AND(DATA!AC59=1),0,IF(AND(N15&gt;5000,N15&lt;=6000),60,IF(AND(N15&gt;6000,N15&lt;=10000),80,IF(AND(N15&gt;10000,N15&lt;=15000),100,IF(AND(N15&gt;15000,N15&lt;=20000),150,IF(AND(N15&gt;20000),200))))))</f>
        <v>200</v>
      </c>
      <c r="S15" s="294">
        <f>DATA!P37</f>
        <v>0</v>
      </c>
      <c r="T15" s="292">
        <f t="shared" si="8"/>
        <v>0</v>
      </c>
      <c r="U15" s="292">
        <v>0</v>
      </c>
      <c r="V15" s="292">
        <f t="shared" si="2"/>
        <v>7796</v>
      </c>
      <c r="W15" s="281"/>
    </row>
    <row r="16" spans="1:23" ht="25.5" customHeight="1">
      <c r="A16" s="290">
        <v>13</v>
      </c>
      <c r="B16" s="295">
        <f>CONCATENATE("Surrender Leave                                 ",DATA!BK62)</f>
        <v>0</v>
      </c>
      <c r="C16" s="292">
        <v>0</v>
      </c>
      <c r="D16" s="292">
        <v>0</v>
      </c>
      <c r="E16" s="292">
        <v>0</v>
      </c>
      <c r="F16" s="292">
        <v>0</v>
      </c>
      <c r="G16" s="292">
        <v>0</v>
      </c>
      <c r="H16" s="292">
        <v>0</v>
      </c>
      <c r="I16" s="292">
        <v>0</v>
      </c>
      <c r="J16" s="292">
        <f>DATA!BV90</f>
        <v>72360</v>
      </c>
      <c r="K16" s="292">
        <v>0</v>
      </c>
      <c r="L16" s="292">
        <v>0</v>
      </c>
      <c r="M16" s="292">
        <v>0</v>
      </c>
      <c r="N16" s="292">
        <f t="shared" si="1"/>
        <v>72360</v>
      </c>
      <c r="O16" s="292">
        <v>0</v>
      </c>
      <c r="P16" s="292">
        <v>0</v>
      </c>
      <c r="Q16" s="292">
        <v>0</v>
      </c>
      <c r="R16" s="292">
        <v>0</v>
      </c>
      <c r="S16" s="292">
        <v>0</v>
      </c>
      <c r="T16" s="292">
        <v>0</v>
      </c>
      <c r="U16" s="292">
        <v>0</v>
      </c>
      <c r="V16" s="292">
        <f t="shared" si="2"/>
        <v>0</v>
      </c>
      <c r="W16" s="281"/>
    </row>
    <row r="17" spans="1:23" ht="24.75" customHeight="1">
      <c r="A17" s="290">
        <v>14</v>
      </c>
      <c r="B17" s="296" t="s">
        <v>358</v>
      </c>
      <c r="C17" s="296"/>
      <c r="D17" s="297">
        <f>DATA!AP98</f>
        <v>14304</v>
      </c>
      <c r="E17" s="292">
        <v>0</v>
      </c>
      <c r="F17" s="292">
        <v>0</v>
      </c>
      <c r="G17" s="292">
        <v>0</v>
      </c>
      <c r="H17" s="292">
        <v>0</v>
      </c>
      <c r="I17" s="292">
        <v>0</v>
      </c>
      <c r="J17" s="292">
        <v>0</v>
      </c>
      <c r="K17" s="292">
        <v>0</v>
      </c>
      <c r="L17" s="292">
        <v>0</v>
      </c>
      <c r="M17" s="292">
        <v>0</v>
      </c>
      <c r="N17" s="292">
        <f t="shared" si="1"/>
        <v>14304</v>
      </c>
      <c r="O17" s="297">
        <f>IF(DATA!$AA$34=3,DATA!$AT$98,DATA!$AP$98)</f>
        <v>1424</v>
      </c>
      <c r="P17" s="292">
        <v>0</v>
      </c>
      <c r="Q17" s="292">
        <v>0</v>
      </c>
      <c r="R17" s="292">
        <v>0</v>
      </c>
      <c r="S17" s="292">
        <v>0</v>
      </c>
      <c r="T17" s="292">
        <v>0</v>
      </c>
      <c r="U17" s="292">
        <v>0</v>
      </c>
      <c r="V17" s="292">
        <f t="shared" si="2"/>
        <v>1424</v>
      </c>
      <c r="W17" s="281"/>
    </row>
    <row r="18" spans="1:23" ht="27" customHeight="1">
      <c r="A18" s="290">
        <v>15</v>
      </c>
      <c r="B18" s="296" t="s">
        <v>359</v>
      </c>
      <c r="C18" s="296"/>
      <c r="D18" s="297">
        <f>IF(DATA!AG64=1,DATA!AO116,0)</f>
        <v>0</v>
      </c>
      <c r="E18" s="292">
        <v>0</v>
      </c>
      <c r="F18" s="292">
        <v>0</v>
      </c>
      <c r="G18" s="292">
        <v>0</v>
      </c>
      <c r="H18" s="292">
        <v>0</v>
      </c>
      <c r="I18" s="292">
        <v>0</v>
      </c>
      <c r="J18" s="292">
        <v>0</v>
      </c>
      <c r="K18" s="292">
        <v>0</v>
      </c>
      <c r="L18" s="292">
        <v>0</v>
      </c>
      <c r="M18" s="292">
        <v>0</v>
      </c>
      <c r="N18" s="292">
        <f t="shared" si="1"/>
        <v>0</v>
      </c>
      <c r="O18" s="297">
        <f>IF(DATA!AG64=1,IF(DATA!$AA$34=3,DATA!$AT$113,DATA!$AP$113),0)</f>
        <v>0</v>
      </c>
      <c r="P18" s="292">
        <v>0</v>
      </c>
      <c r="Q18" s="292">
        <v>0</v>
      </c>
      <c r="R18" s="292">
        <v>0</v>
      </c>
      <c r="S18" s="292">
        <v>0</v>
      </c>
      <c r="T18" s="292">
        <v>0</v>
      </c>
      <c r="U18" s="292">
        <v>0</v>
      </c>
      <c r="V18" s="292">
        <f t="shared" si="2"/>
        <v>0</v>
      </c>
      <c r="W18" s="281"/>
    </row>
    <row r="19" spans="1:23" ht="29.25" customHeight="1">
      <c r="A19" s="290">
        <v>16</v>
      </c>
      <c r="B19" s="298">
        <f>DATA!C116</f>
        <v>0</v>
      </c>
      <c r="C19" s="299">
        <f>DATA!F119</f>
        <v>0</v>
      </c>
      <c r="D19" s="299">
        <f>DATA!G119</f>
        <v>0</v>
      </c>
      <c r="E19" s="299">
        <f>DATA!H119</f>
        <v>0</v>
      </c>
      <c r="F19" s="299">
        <v>0</v>
      </c>
      <c r="G19" s="292">
        <v>0</v>
      </c>
      <c r="H19" s="292">
        <v>0</v>
      </c>
      <c r="I19" s="292">
        <v>0</v>
      </c>
      <c r="J19" s="292">
        <v>0</v>
      </c>
      <c r="K19" s="292">
        <v>0</v>
      </c>
      <c r="L19" s="292">
        <v>0</v>
      </c>
      <c r="M19" s="292">
        <v>0</v>
      </c>
      <c r="N19" s="292">
        <f t="shared" si="1"/>
        <v>0</v>
      </c>
      <c r="O19" s="297">
        <f>IF(DATA!$AA$34=3,DATA!H120,0)</f>
        <v>0</v>
      </c>
      <c r="P19" s="292">
        <v>0</v>
      </c>
      <c r="Q19" s="292">
        <v>0</v>
      </c>
      <c r="R19" s="292">
        <v>0</v>
      </c>
      <c r="S19" s="292">
        <v>0</v>
      </c>
      <c r="T19" s="292">
        <v>0</v>
      </c>
      <c r="U19" s="292">
        <v>0</v>
      </c>
      <c r="V19" s="292">
        <f t="shared" si="2"/>
        <v>0</v>
      </c>
      <c r="W19" s="281"/>
    </row>
    <row r="20" spans="1:23" ht="25.5" customHeight="1">
      <c r="A20" s="290">
        <v>17</v>
      </c>
      <c r="B20" s="298">
        <f>DATA!C124</f>
        <v>0</v>
      </c>
      <c r="C20" s="299">
        <f>DATA!F127</f>
        <v>0</v>
      </c>
      <c r="D20" s="299">
        <f>DATA!G127</f>
        <v>0</v>
      </c>
      <c r="E20" s="299">
        <f>DATA!H127</f>
        <v>0</v>
      </c>
      <c r="F20" s="299">
        <v>0</v>
      </c>
      <c r="G20" s="292">
        <v>0</v>
      </c>
      <c r="H20" s="292">
        <v>0</v>
      </c>
      <c r="I20" s="292">
        <v>0</v>
      </c>
      <c r="J20" s="292">
        <v>0</v>
      </c>
      <c r="K20" s="292">
        <v>0</v>
      </c>
      <c r="L20" s="292">
        <v>0</v>
      </c>
      <c r="M20" s="292">
        <v>0</v>
      </c>
      <c r="N20" s="292">
        <f t="shared" si="1"/>
        <v>0</v>
      </c>
      <c r="O20" s="297">
        <f>IF(DATA!$AA$34=3,DATA!H128,0)</f>
        <v>0</v>
      </c>
      <c r="P20" s="292">
        <v>0</v>
      </c>
      <c r="Q20" s="292">
        <v>0</v>
      </c>
      <c r="R20" s="292">
        <v>0</v>
      </c>
      <c r="S20" s="292">
        <v>0</v>
      </c>
      <c r="T20" s="292">
        <v>0</v>
      </c>
      <c r="U20" s="292">
        <v>0</v>
      </c>
      <c r="V20" s="292">
        <f t="shared" si="2"/>
        <v>0</v>
      </c>
      <c r="W20" s="281"/>
    </row>
    <row r="21" spans="1:23" ht="25.5" customHeight="1">
      <c r="A21" s="290">
        <v>18</v>
      </c>
      <c r="B21" s="300" t="s">
        <v>360</v>
      </c>
      <c r="C21" s="299">
        <f>DATA!P10</f>
        <v>0</v>
      </c>
      <c r="D21" s="297">
        <v>0</v>
      </c>
      <c r="E21" s="292">
        <v>0</v>
      </c>
      <c r="F21" s="292">
        <v>0</v>
      </c>
      <c r="G21" s="292">
        <v>0</v>
      </c>
      <c r="H21" s="292">
        <v>0</v>
      </c>
      <c r="I21" s="292">
        <v>0</v>
      </c>
      <c r="J21" s="292">
        <v>0</v>
      </c>
      <c r="K21" s="292">
        <v>0</v>
      </c>
      <c r="L21" s="292">
        <v>0</v>
      </c>
      <c r="M21" s="292">
        <v>0</v>
      </c>
      <c r="N21" s="292">
        <f t="shared" si="1"/>
        <v>0</v>
      </c>
      <c r="O21" s="297">
        <v>0</v>
      </c>
      <c r="P21" s="292">
        <v>0</v>
      </c>
      <c r="Q21" s="292">
        <v>0</v>
      </c>
      <c r="R21" s="292">
        <v>0</v>
      </c>
      <c r="S21" s="292">
        <v>0</v>
      </c>
      <c r="T21" s="292">
        <v>0</v>
      </c>
      <c r="U21" s="292">
        <v>0</v>
      </c>
      <c r="V21" s="292">
        <f t="shared" si="2"/>
        <v>0</v>
      </c>
      <c r="W21" s="281"/>
    </row>
    <row r="22" spans="1:23" ht="21" customHeight="1">
      <c r="A22" s="290">
        <v>19</v>
      </c>
      <c r="B22" s="301" t="s">
        <v>361</v>
      </c>
      <c r="C22" s="302">
        <f>DATA!D12</f>
        <v>0</v>
      </c>
      <c r="D22" s="297">
        <f>DATA!D13</f>
        <v>0</v>
      </c>
      <c r="E22" s="292">
        <f>DATA!D14</f>
        <v>0</v>
      </c>
      <c r="F22" s="292">
        <v>0</v>
      </c>
      <c r="G22" s="292">
        <v>0</v>
      </c>
      <c r="H22" s="292">
        <v>0</v>
      </c>
      <c r="I22" s="292">
        <v>0</v>
      </c>
      <c r="J22" s="292">
        <f>DATA!D15</f>
        <v>0</v>
      </c>
      <c r="K22" s="292">
        <v>0</v>
      </c>
      <c r="L22" s="292">
        <v>0</v>
      </c>
      <c r="M22" s="292">
        <v>0</v>
      </c>
      <c r="N22" s="292">
        <f t="shared" si="1"/>
        <v>0</v>
      </c>
      <c r="O22" s="297">
        <f>DATA!I12</f>
        <v>0</v>
      </c>
      <c r="P22" s="292">
        <v>0</v>
      </c>
      <c r="Q22" s="292">
        <v>0</v>
      </c>
      <c r="R22" s="292">
        <v>0</v>
      </c>
      <c r="S22" s="292">
        <v>0</v>
      </c>
      <c r="T22" s="292">
        <v>0</v>
      </c>
      <c r="U22" s="292">
        <v>0</v>
      </c>
      <c r="V22" s="292">
        <f t="shared" si="2"/>
        <v>0</v>
      </c>
      <c r="W22" s="281"/>
    </row>
    <row r="23" spans="1:23" ht="30.75" customHeight="1">
      <c r="A23" s="290" t="s">
        <v>362</v>
      </c>
      <c r="B23" s="290"/>
      <c r="C23" s="290">
        <f>SUM(C4:C22)</f>
        <v>689740</v>
      </c>
      <c r="D23" s="290">
        <f>SUM(D4:D22)</f>
        <v>86704</v>
      </c>
      <c r="E23" s="290">
        <f>SUM(E4:E22)</f>
        <v>82768</v>
      </c>
      <c r="F23" s="290">
        <f>SUM(F4:F22)</f>
        <v>8400</v>
      </c>
      <c r="G23" s="290">
        <f>SUM(G4:G22)</f>
        <v>0</v>
      </c>
      <c r="H23" s="290">
        <f>SUM(H4:H22)</f>
        <v>0</v>
      </c>
      <c r="I23" s="290">
        <f>SUM(I4:I22)</f>
        <v>0</v>
      </c>
      <c r="J23" s="290">
        <f>SUM(J4:J22)</f>
        <v>72360</v>
      </c>
      <c r="K23" s="290">
        <f>SUM(K4:K22)</f>
        <v>0</v>
      </c>
      <c r="L23" s="290">
        <f>SUM(L4:L22)</f>
        <v>0</v>
      </c>
      <c r="M23" s="303">
        <f>SUM(M4:M22)</f>
        <v>0</v>
      </c>
      <c r="N23" s="303">
        <f>SUM(N4:N22)</f>
        <v>939972</v>
      </c>
      <c r="O23" s="303">
        <f>SUM(O4:O22)</f>
        <v>77640</v>
      </c>
      <c r="P23" s="303">
        <f>SUM(P4:P22)</f>
        <v>12000</v>
      </c>
      <c r="Q23" s="303">
        <f>SUM(Q4:Q22)</f>
        <v>720</v>
      </c>
      <c r="R23" s="303">
        <f>SUM(R4:R22)</f>
        <v>2400</v>
      </c>
      <c r="S23" s="303">
        <f>SUM(S4:S22)</f>
        <v>0</v>
      </c>
      <c r="T23" s="303">
        <f>SUM(T4:T22)</f>
        <v>0</v>
      </c>
      <c r="U23" s="303">
        <f>SUM(U4:U22)</f>
        <v>120</v>
      </c>
      <c r="V23" s="303">
        <f>SUM(V4:V22)</f>
        <v>92880</v>
      </c>
      <c r="W23" s="281"/>
    </row>
    <row r="24" spans="1:23" ht="19.5" customHeight="1">
      <c r="A24" s="304"/>
      <c r="B24" s="304"/>
      <c r="C24" s="304"/>
      <c r="D24" s="304"/>
      <c r="E24" s="304"/>
      <c r="F24" s="304"/>
      <c r="G24" s="304"/>
      <c r="H24" s="304"/>
      <c r="I24" s="304"/>
      <c r="J24" s="304"/>
      <c r="K24" s="304"/>
      <c r="L24" s="304"/>
      <c r="M24" s="305"/>
      <c r="N24" s="305"/>
      <c r="O24" s="305"/>
      <c r="P24" s="305"/>
      <c r="Q24" s="305"/>
      <c r="R24" s="305"/>
      <c r="S24" s="305"/>
      <c r="T24" s="305"/>
      <c r="U24" s="305"/>
      <c r="V24" s="305"/>
      <c r="W24" s="281"/>
    </row>
    <row r="25" spans="1:23" ht="19.5" customHeight="1">
      <c r="A25" s="304"/>
      <c r="B25" s="304"/>
      <c r="C25" s="304"/>
      <c r="D25" s="304"/>
      <c r="E25" s="304"/>
      <c r="F25" s="304"/>
      <c r="G25" s="304"/>
      <c r="H25" s="304"/>
      <c r="I25" s="304"/>
      <c r="J25" s="304"/>
      <c r="K25" s="304"/>
      <c r="L25" s="304"/>
      <c r="M25" s="305"/>
      <c r="N25" s="305"/>
      <c r="O25" s="305"/>
      <c r="P25" s="305"/>
      <c r="Q25" s="305"/>
      <c r="R25" s="305"/>
      <c r="S25" s="305"/>
      <c r="T25" s="305"/>
      <c r="U25" s="305"/>
      <c r="V25" s="305"/>
      <c r="W25" s="281"/>
    </row>
    <row r="26" spans="1:22" ht="21.75" customHeight="1">
      <c r="A26" s="283"/>
      <c r="B26" s="283"/>
      <c r="C26" s="284"/>
      <c r="D26" s="284"/>
      <c r="E26" s="284"/>
      <c r="F26" s="284"/>
      <c r="G26" s="284"/>
      <c r="H26" s="284"/>
      <c r="I26" s="284"/>
      <c r="J26" s="284"/>
      <c r="K26" s="284"/>
      <c r="L26" s="284"/>
      <c r="M26" s="284"/>
      <c r="N26" s="284"/>
      <c r="O26" s="284"/>
      <c r="P26" s="284"/>
      <c r="Q26" s="284"/>
      <c r="R26" s="284"/>
      <c r="S26" s="284"/>
      <c r="T26" s="284"/>
      <c r="U26" s="284"/>
      <c r="V26" s="284"/>
    </row>
    <row r="27" spans="1:22" s="310" customFormat="1" ht="16.5" customHeight="1">
      <c r="A27" s="306"/>
      <c r="B27" s="306"/>
      <c r="C27" s="307" t="s">
        <v>363</v>
      </c>
      <c r="D27" s="307"/>
      <c r="E27" s="307"/>
      <c r="F27" s="307"/>
      <c r="G27" s="307"/>
      <c r="H27" s="307"/>
      <c r="I27" s="307"/>
      <c r="J27" s="307"/>
      <c r="K27" s="307"/>
      <c r="L27" s="307"/>
      <c r="M27" s="307"/>
      <c r="N27" s="307"/>
      <c r="O27" s="307"/>
      <c r="P27" s="307"/>
      <c r="Q27" s="307"/>
      <c r="R27" s="307"/>
      <c r="S27" s="308" t="s">
        <v>364</v>
      </c>
      <c r="T27" s="308"/>
      <c r="U27" s="308"/>
      <c r="V27" s="309"/>
    </row>
    <row r="28" spans="1:22" s="313" customFormat="1" ht="18.75" customHeight="1">
      <c r="A28" s="311"/>
      <c r="B28" s="311"/>
      <c r="C28" s="312"/>
      <c r="D28" s="312"/>
      <c r="E28" s="312"/>
      <c r="F28" s="312"/>
      <c r="G28" s="312"/>
      <c r="H28" s="312"/>
      <c r="I28" s="312"/>
      <c r="J28" s="312">
        <f>'Annexure -II'!B73</f>
        <v>0</v>
      </c>
      <c r="K28" s="312"/>
      <c r="L28" s="312"/>
      <c r="M28" s="312"/>
      <c r="N28" s="312"/>
      <c r="O28" s="312"/>
      <c r="P28" s="312"/>
      <c r="Q28" s="312"/>
      <c r="R28" s="312"/>
      <c r="S28" s="312"/>
      <c r="T28" s="312"/>
      <c r="U28" s="312"/>
      <c r="V28" s="312"/>
    </row>
  </sheetData>
  <sheetProtection password="F3B7" sheet="1" objects="1" scenarios="1" selectLockedCells="1"/>
  <mergeCells count="4">
    <mergeCell ref="A1:V1"/>
    <mergeCell ref="B17:C17"/>
    <mergeCell ref="B18:C18"/>
    <mergeCell ref="A23:B23"/>
  </mergeCells>
  <printOptions/>
  <pageMargins left="0.35" right="0.1798611111111111" top="0.5798611111111112" bottom="0.49027777777777776" header="0.5118055555555555" footer="0.5118055555555555"/>
  <pageSetup horizontalDpi="300" verticalDpi="300" orientation="landscape" paperSize="9" scale="89"/>
</worksheet>
</file>

<file path=xl/worksheets/sheet4.xml><?xml version="1.0" encoding="utf-8"?>
<worksheet xmlns="http://schemas.openxmlformats.org/spreadsheetml/2006/main" xmlns:r="http://schemas.openxmlformats.org/officeDocument/2006/relationships">
  <dimension ref="A1:AD73"/>
  <sheetViews>
    <sheetView showGridLines="0" showRowColHeaders="0" zoomScaleSheetLayoutView="100" workbookViewId="0" topLeftCell="A5">
      <selection activeCell="L20" sqref="L20"/>
    </sheetView>
  </sheetViews>
  <sheetFormatPr defaultColWidth="1.1484375" defaultRowHeight="12.75" customHeight="1" zeroHeight="1"/>
  <cols>
    <col min="1" max="1" width="1.421875" style="314" customWidth="1"/>
    <col min="2" max="2" width="4.421875" style="315" customWidth="1"/>
    <col min="3" max="3" width="3.57421875" style="315" customWidth="1"/>
    <col min="4" max="4" width="4.7109375" style="315" customWidth="1"/>
    <col min="5" max="5" width="4.57421875" style="315" customWidth="1"/>
    <col min="6" max="6" width="5.28125" style="315" customWidth="1"/>
    <col min="7" max="7" width="6.421875" style="315" customWidth="1"/>
    <col min="8" max="8" width="21.7109375" style="315" customWidth="1"/>
    <col min="9" max="9" width="25.8515625" style="315" customWidth="1"/>
    <col min="10" max="10" width="3.8515625" style="316" customWidth="1"/>
    <col min="11" max="11" width="2.57421875" style="316" customWidth="1"/>
    <col min="12" max="12" width="11.28125" style="316" customWidth="1"/>
    <col min="13" max="13" width="14.8515625" style="316" customWidth="1"/>
    <col min="14" max="14" width="0.9921875" style="317" customWidth="1"/>
    <col min="15" max="16384" width="0" style="317" hidden="1" customWidth="1"/>
  </cols>
  <sheetData>
    <row r="1" spans="1:13" ht="7.5" customHeight="1">
      <c r="A1" s="318"/>
      <c r="B1" s="318"/>
      <c r="C1" s="318"/>
      <c r="D1" s="318"/>
      <c r="E1" s="318"/>
      <c r="F1" s="318"/>
      <c r="G1" s="318"/>
      <c r="H1" s="318"/>
      <c r="I1" s="318"/>
      <c r="J1" s="319"/>
      <c r="K1" s="319"/>
      <c r="L1" s="319"/>
      <c r="M1" s="319"/>
    </row>
    <row r="2" spans="1:14" ht="15" customHeight="1">
      <c r="A2" s="318"/>
      <c r="B2" s="320" t="s">
        <v>365</v>
      </c>
      <c r="C2" s="320"/>
      <c r="D2" s="320"/>
      <c r="E2" s="320"/>
      <c r="F2" s="320"/>
      <c r="G2" s="320"/>
      <c r="H2" s="320"/>
      <c r="I2" s="320"/>
      <c r="J2" s="320"/>
      <c r="K2" s="320"/>
      <c r="L2" s="320"/>
      <c r="M2" s="320"/>
      <c r="N2" s="321"/>
    </row>
    <row r="3" spans="1:14" ht="12" customHeight="1">
      <c r="A3" s="318"/>
      <c r="B3" s="322" t="s">
        <v>366</v>
      </c>
      <c r="C3" s="322"/>
      <c r="D3" s="322"/>
      <c r="E3" s="322"/>
      <c r="F3" s="322"/>
      <c r="G3" s="322"/>
      <c r="H3" s="322"/>
      <c r="I3" s="322"/>
      <c r="J3" s="322"/>
      <c r="K3" s="322"/>
      <c r="L3" s="322"/>
      <c r="M3" s="322"/>
      <c r="N3" s="323"/>
    </row>
    <row r="4" spans="1:14" ht="12.75" customHeight="1">
      <c r="A4" s="318"/>
      <c r="B4" s="324" t="s">
        <v>367</v>
      </c>
      <c r="C4" s="324"/>
      <c r="D4" s="324"/>
      <c r="E4" s="325">
        <f>DATA!D4</f>
        <v>0</v>
      </c>
      <c r="F4" s="325"/>
      <c r="G4" s="325"/>
      <c r="H4" s="325"/>
      <c r="I4" s="326" t="s">
        <v>368</v>
      </c>
      <c r="J4" s="327">
        <f>DATA!C5</f>
        <v>0</v>
      </c>
      <c r="K4" s="327"/>
      <c r="L4" s="327"/>
      <c r="M4" s="327"/>
      <c r="N4" s="328"/>
    </row>
    <row r="5" spans="1:14" ht="12.75" customHeight="1">
      <c r="A5" s="318"/>
      <c r="B5" s="329" t="s">
        <v>369</v>
      </c>
      <c r="C5" s="329"/>
      <c r="D5" s="329"/>
      <c r="E5" s="330">
        <f>DATA!Z5</f>
        <v>0</v>
      </c>
      <c r="F5" s="330"/>
      <c r="G5" s="330"/>
      <c r="H5" s="330"/>
      <c r="I5" s="331" t="s">
        <v>370</v>
      </c>
      <c r="J5" s="332">
        <f>DATA!L5</f>
        <v>0</v>
      </c>
      <c r="K5" s="332"/>
      <c r="L5" s="332"/>
      <c r="M5" s="332"/>
      <c r="N5" s="328"/>
    </row>
    <row r="6" spans="1:14" ht="13.5" customHeight="1">
      <c r="A6" s="318"/>
      <c r="B6" s="333">
        <v>1</v>
      </c>
      <c r="C6" s="334">
        <f>DATA!H79</f>
        <v>0</v>
      </c>
      <c r="D6" s="334"/>
      <c r="E6" s="334"/>
      <c r="F6" s="334"/>
      <c r="G6" s="334"/>
      <c r="H6" s="335" t="s">
        <v>371</v>
      </c>
      <c r="I6" s="335"/>
      <c r="J6" s="335"/>
      <c r="K6" s="336"/>
      <c r="L6" s="337">
        <f>DATA!L17</f>
        <v>0</v>
      </c>
      <c r="M6" s="337"/>
      <c r="N6" s="338"/>
    </row>
    <row r="7" spans="1:14" ht="15" customHeight="1">
      <c r="A7" s="318"/>
      <c r="B7" s="333">
        <v>2</v>
      </c>
      <c r="C7" s="339" t="s">
        <v>372</v>
      </c>
      <c r="D7" s="339"/>
      <c r="E7" s="339"/>
      <c r="F7" s="339"/>
      <c r="G7" s="339"/>
      <c r="H7" s="339"/>
      <c r="I7" s="339"/>
      <c r="J7" s="340" t="s">
        <v>200</v>
      </c>
      <c r="K7" s="341"/>
      <c r="L7" s="342"/>
      <c r="M7" s="343">
        <f>'Annexure -I'!N23</f>
        <v>939972</v>
      </c>
      <c r="N7" s="344"/>
    </row>
    <row r="8" spans="1:14" ht="13.5" customHeight="1">
      <c r="A8" s="318"/>
      <c r="B8" s="333">
        <v>3</v>
      </c>
      <c r="C8" s="345" t="s">
        <v>373</v>
      </c>
      <c r="D8" s="345"/>
      <c r="E8" s="345"/>
      <c r="F8" s="345"/>
      <c r="G8" s="345"/>
      <c r="H8" s="345"/>
      <c r="I8" s="345"/>
      <c r="J8" s="346"/>
      <c r="K8" s="347"/>
      <c r="L8" s="348"/>
      <c r="M8" s="343"/>
      <c r="N8" s="349"/>
    </row>
    <row r="9" spans="1:14" ht="13.5" customHeight="1">
      <c r="A9" s="318"/>
      <c r="B9" s="333"/>
      <c r="C9" s="350" t="s">
        <v>374</v>
      </c>
      <c r="D9" s="351" t="s">
        <v>375</v>
      </c>
      <c r="E9" s="351"/>
      <c r="F9" s="351"/>
      <c r="G9" s="351"/>
      <c r="H9" s="351"/>
      <c r="I9" s="351"/>
      <c r="J9" s="352" t="s">
        <v>200</v>
      </c>
      <c r="K9" s="353"/>
      <c r="L9" s="354">
        <f>'Annexure -I'!E23</f>
        <v>82768</v>
      </c>
      <c r="M9" s="343"/>
      <c r="N9" s="349"/>
    </row>
    <row r="10" spans="1:14" ht="13.5" customHeight="1">
      <c r="A10" s="318"/>
      <c r="B10" s="333"/>
      <c r="C10" s="350" t="s">
        <v>376</v>
      </c>
      <c r="D10" s="351">
        <f>DATA!O93</f>
        <v>0</v>
      </c>
      <c r="E10" s="351"/>
      <c r="F10" s="351"/>
      <c r="G10" s="351"/>
      <c r="H10" s="351"/>
      <c r="I10" s="351"/>
      <c r="J10" s="352" t="s">
        <v>200</v>
      </c>
      <c r="K10" s="353"/>
      <c r="L10" s="354">
        <f>IF(DATA!M81=1,0,DATA!Q91)</f>
        <v>21956</v>
      </c>
      <c r="M10" s="343"/>
      <c r="N10" s="349"/>
    </row>
    <row r="11" spans="1:14" ht="13.5" customHeight="1">
      <c r="A11" s="318"/>
      <c r="B11" s="333"/>
      <c r="C11" s="350" t="s">
        <v>377</v>
      </c>
      <c r="D11" s="351" t="s">
        <v>378</v>
      </c>
      <c r="E11" s="351"/>
      <c r="F11" s="351"/>
      <c r="G11" s="351"/>
      <c r="H11" s="351"/>
      <c r="I11" s="351"/>
      <c r="J11" s="352" t="s">
        <v>200</v>
      </c>
      <c r="K11" s="353"/>
      <c r="L11" s="354">
        <f>ROUND(('Annexure -I'!C23+'Annexure -I'!D23)*0.4,-2)</f>
        <v>310600</v>
      </c>
      <c r="M11" s="355">
        <f>MIN(L9:L11)</f>
        <v>21956</v>
      </c>
      <c r="N11" s="349"/>
    </row>
    <row r="12" spans="1:14" ht="13.5" customHeight="1">
      <c r="A12" s="318"/>
      <c r="B12" s="333">
        <v>4</v>
      </c>
      <c r="C12" s="339" t="s">
        <v>379</v>
      </c>
      <c r="D12" s="339"/>
      <c r="E12" s="339"/>
      <c r="F12" s="339"/>
      <c r="G12" s="339"/>
      <c r="H12" s="339"/>
      <c r="I12" s="339"/>
      <c r="J12" s="346" t="s">
        <v>200</v>
      </c>
      <c r="K12" s="347"/>
      <c r="L12" s="348"/>
      <c r="M12" s="356">
        <f>M7-M11</f>
        <v>918016</v>
      </c>
      <c r="N12" s="344"/>
    </row>
    <row r="13" spans="1:14" ht="13.5" customHeight="1">
      <c r="A13" s="318"/>
      <c r="B13" s="333">
        <v>5</v>
      </c>
      <c r="C13" s="339" t="s">
        <v>380</v>
      </c>
      <c r="D13" s="339"/>
      <c r="E13" s="339"/>
      <c r="F13" s="339"/>
      <c r="G13" s="339"/>
      <c r="H13" s="339"/>
      <c r="I13" s="339"/>
      <c r="J13" s="346"/>
      <c r="K13" s="347"/>
      <c r="L13" s="348"/>
      <c r="M13" s="343"/>
      <c r="N13" s="349"/>
    </row>
    <row r="14" spans="1:14" ht="13.5" customHeight="1">
      <c r="A14" s="318"/>
      <c r="B14" s="333"/>
      <c r="C14" s="350" t="s">
        <v>374</v>
      </c>
      <c r="D14" s="357" t="s">
        <v>381</v>
      </c>
      <c r="E14" s="357"/>
      <c r="F14" s="357"/>
      <c r="G14" s="357"/>
      <c r="H14" s="357"/>
      <c r="I14" s="357"/>
      <c r="J14" s="352" t="s">
        <v>200</v>
      </c>
      <c r="K14" s="353"/>
      <c r="L14" s="354">
        <f>'Annexure -I'!M23</f>
        <v>0</v>
      </c>
      <c r="M14" s="343"/>
      <c r="N14" s="349"/>
    </row>
    <row r="15" spans="1:14" ht="13.5" customHeight="1">
      <c r="A15" s="318"/>
      <c r="B15" s="333"/>
      <c r="C15" s="350" t="s">
        <v>376</v>
      </c>
      <c r="D15" s="351" t="s">
        <v>382</v>
      </c>
      <c r="E15" s="351"/>
      <c r="F15" s="351"/>
      <c r="G15" s="351"/>
      <c r="H15" s="351"/>
      <c r="I15" s="351"/>
      <c r="J15" s="352" t="s">
        <v>200</v>
      </c>
      <c r="K15" s="353"/>
      <c r="L15" s="354">
        <f>'Annexure -I'!R23</f>
        <v>2400</v>
      </c>
      <c r="M15" s="355">
        <f>L15+L14</f>
        <v>2400</v>
      </c>
      <c r="N15" s="349"/>
    </row>
    <row r="16" spans="1:14" ht="13.5" customHeight="1">
      <c r="A16" s="318"/>
      <c r="B16" s="333">
        <v>6</v>
      </c>
      <c r="C16" s="339" t="s">
        <v>383</v>
      </c>
      <c r="D16" s="339"/>
      <c r="E16" s="339"/>
      <c r="F16" s="339"/>
      <c r="G16" s="339"/>
      <c r="H16" s="339"/>
      <c r="I16" s="339"/>
      <c r="J16" s="346" t="s">
        <v>200</v>
      </c>
      <c r="K16" s="347"/>
      <c r="L16" s="342"/>
      <c r="M16" s="358">
        <f>M12-M15</f>
        <v>915616</v>
      </c>
      <c r="N16" s="344"/>
    </row>
    <row r="17" spans="1:14" ht="12" customHeight="1">
      <c r="A17" s="318"/>
      <c r="B17" s="333">
        <v>7</v>
      </c>
      <c r="C17" s="359" t="s">
        <v>384</v>
      </c>
      <c r="D17" s="359"/>
      <c r="E17" s="359"/>
      <c r="F17" s="359"/>
      <c r="G17" s="359"/>
      <c r="H17" s="359"/>
      <c r="I17" s="359"/>
      <c r="J17" s="346" t="s">
        <v>200</v>
      </c>
      <c r="K17" s="347"/>
      <c r="L17" s="348">
        <f>DATA!N13</f>
        <v>0</v>
      </c>
      <c r="M17" s="360"/>
      <c r="N17" s="349"/>
    </row>
    <row r="18" spans="1:14" ht="12" customHeight="1">
      <c r="A18" s="318"/>
      <c r="B18" s="333">
        <v>8</v>
      </c>
      <c r="C18" s="359" t="s">
        <v>385</v>
      </c>
      <c r="D18" s="359"/>
      <c r="E18" s="359"/>
      <c r="F18" s="359"/>
      <c r="G18" s="359"/>
      <c r="H18" s="359"/>
      <c r="I18" s="359"/>
      <c r="J18" s="346" t="s">
        <v>200</v>
      </c>
      <c r="K18" s="347"/>
      <c r="L18" s="348">
        <f>DATA!N14</f>
        <v>0</v>
      </c>
      <c r="M18" s="360"/>
      <c r="N18" s="349"/>
    </row>
    <row r="19" spans="1:14" ht="12" customHeight="1">
      <c r="A19" s="318"/>
      <c r="B19" s="333">
        <v>9</v>
      </c>
      <c r="C19" s="359" t="s">
        <v>177</v>
      </c>
      <c r="D19" s="359"/>
      <c r="E19" s="359"/>
      <c r="F19" s="359"/>
      <c r="G19" s="359"/>
      <c r="H19" s="359"/>
      <c r="I19" s="359"/>
      <c r="J19" s="346" t="s">
        <v>200</v>
      </c>
      <c r="K19" s="347"/>
      <c r="L19" s="348">
        <f>DATA!N15</f>
        <v>0</v>
      </c>
      <c r="M19" s="361"/>
      <c r="N19" s="349"/>
    </row>
    <row r="20" spans="1:14" ht="12" customHeight="1">
      <c r="A20" s="318"/>
      <c r="B20" s="333">
        <v>10</v>
      </c>
      <c r="C20" s="362" t="s">
        <v>386</v>
      </c>
      <c r="D20" s="362"/>
      <c r="E20" s="362"/>
      <c r="F20" s="362"/>
      <c r="G20" s="362"/>
      <c r="H20" s="362"/>
      <c r="I20" s="362"/>
      <c r="J20" s="346" t="s">
        <v>200</v>
      </c>
      <c r="K20" s="347"/>
      <c r="L20" s="363">
        <f>IF(DATA!AA34&lt;3,0,'Annexure -I'!O23)</f>
        <v>77640</v>
      </c>
      <c r="M20" s="361"/>
      <c r="N20" s="349"/>
    </row>
    <row r="21" spans="1:14" ht="12" customHeight="1">
      <c r="A21" s="318"/>
      <c r="B21" s="333">
        <v>11</v>
      </c>
      <c r="C21" s="359">
        <f>DATA!G29</f>
        <v>0</v>
      </c>
      <c r="D21" s="351"/>
      <c r="E21" s="351"/>
      <c r="F21" s="351"/>
      <c r="G21" s="351"/>
      <c r="H21" s="351"/>
      <c r="I21" s="351"/>
      <c r="J21" s="346" t="s">
        <v>200</v>
      </c>
      <c r="K21" s="347"/>
      <c r="L21" s="348">
        <f>DATA!M29</f>
        <v>0</v>
      </c>
      <c r="M21" s="343"/>
      <c r="N21" s="349"/>
    </row>
    <row r="22" spans="1:14" ht="13.5" customHeight="1">
      <c r="A22" s="318"/>
      <c r="B22" s="333">
        <v>12</v>
      </c>
      <c r="C22" s="339" t="s">
        <v>387</v>
      </c>
      <c r="D22" s="339"/>
      <c r="E22" s="339"/>
      <c r="F22" s="339"/>
      <c r="G22" s="339"/>
      <c r="H22" s="339"/>
      <c r="I22" s="339"/>
      <c r="J22" s="346" t="s">
        <v>200</v>
      </c>
      <c r="K22" s="347"/>
      <c r="L22" s="348"/>
      <c r="M22" s="356">
        <f>SUM(M16,L17:L21)</f>
        <v>993256</v>
      </c>
      <c r="N22" s="344"/>
    </row>
    <row r="23" spans="1:14" ht="12" customHeight="1">
      <c r="A23" s="318"/>
      <c r="B23" s="333">
        <v>13</v>
      </c>
      <c r="C23" s="339" t="s">
        <v>198</v>
      </c>
      <c r="D23" s="339"/>
      <c r="E23" s="339"/>
      <c r="F23" s="339"/>
      <c r="G23" s="339"/>
      <c r="H23" s="339"/>
      <c r="I23" s="339"/>
      <c r="J23" s="346"/>
      <c r="K23" s="347"/>
      <c r="L23" s="364"/>
      <c r="M23" s="343"/>
      <c r="N23" s="349"/>
    </row>
    <row r="24" spans="1:14" ht="12" customHeight="1">
      <c r="A24" s="318"/>
      <c r="B24" s="333"/>
      <c r="C24" s="350" t="s">
        <v>374</v>
      </c>
      <c r="D24" s="365">
        <f>DATA!G26</f>
        <v>0</v>
      </c>
      <c r="E24" s="365"/>
      <c r="F24" s="365"/>
      <c r="G24" s="365"/>
      <c r="H24" s="365"/>
      <c r="I24" s="365"/>
      <c r="J24" s="366" t="s">
        <v>200</v>
      </c>
      <c r="K24" s="367"/>
      <c r="L24" s="368">
        <f>DATA!T61</f>
        <v>0</v>
      </c>
      <c r="M24" s="343"/>
      <c r="N24" s="349"/>
    </row>
    <row r="25" spans="1:14" ht="12" customHeight="1">
      <c r="A25" s="318"/>
      <c r="B25" s="333"/>
      <c r="C25" s="350" t="s">
        <v>376</v>
      </c>
      <c r="D25" s="365">
        <f>DATA!G27</f>
        <v>0</v>
      </c>
      <c r="E25" s="365"/>
      <c r="F25" s="365"/>
      <c r="G25" s="365"/>
      <c r="H25" s="365"/>
      <c r="I25" s="365"/>
      <c r="J25" s="366" t="s">
        <v>200</v>
      </c>
      <c r="K25" s="367"/>
      <c r="L25" s="368">
        <f>DATA!T62</f>
        <v>0</v>
      </c>
      <c r="M25" s="343"/>
      <c r="N25" s="349"/>
    </row>
    <row r="26" spans="1:14" ht="12" customHeight="1">
      <c r="A26" s="318"/>
      <c r="B26" s="333"/>
      <c r="C26" s="350" t="s">
        <v>377</v>
      </c>
      <c r="D26" s="365">
        <f>DATA!G28</f>
        <v>0</v>
      </c>
      <c r="E26" s="365"/>
      <c r="F26" s="365"/>
      <c r="G26" s="365"/>
      <c r="H26" s="365"/>
      <c r="I26" s="365"/>
      <c r="J26" s="366" t="s">
        <v>200</v>
      </c>
      <c r="K26" s="367"/>
      <c r="L26" s="368">
        <f>IF(DATA!M28&gt;=5000,5000,DATA!M28)</f>
        <v>0</v>
      </c>
      <c r="M26" s="343"/>
      <c r="N26" s="349"/>
    </row>
    <row r="27" spans="1:14" ht="12" customHeight="1">
      <c r="A27" s="318"/>
      <c r="B27" s="333"/>
      <c r="C27" s="350" t="s">
        <v>388</v>
      </c>
      <c r="D27" s="365">
        <f>C20</f>
        <v>0</v>
      </c>
      <c r="E27" s="365"/>
      <c r="F27" s="365"/>
      <c r="G27" s="365"/>
      <c r="H27" s="365"/>
      <c r="I27" s="365"/>
      <c r="J27" s="366" t="s">
        <v>200</v>
      </c>
      <c r="K27" s="367"/>
      <c r="L27" s="368">
        <f>L20</f>
        <v>77640</v>
      </c>
      <c r="M27" s="343"/>
      <c r="N27" s="349"/>
    </row>
    <row r="28" spans="1:14" ht="12" customHeight="1">
      <c r="A28" s="318"/>
      <c r="B28" s="333"/>
      <c r="C28" s="350" t="s">
        <v>389</v>
      </c>
      <c r="D28" s="365">
        <f>DATA!N70</f>
        <v>0</v>
      </c>
      <c r="E28" s="365"/>
      <c r="F28" s="365"/>
      <c r="G28" s="365"/>
      <c r="H28" s="365"/>
      <c r="I28" s="365"/>
      <c r="J28" s="366" t="s">
        <v>200</v>
      </c>
      <c r="K28" s="367"/>
      <c r="L28" s="368">
        <f>DATA!T70</f>
        <v>0</v>
      </c>
      <c r="M28" s="343"/>
      <c r="N28" s="349"/>
    </row>
    <row r="29" spans="1:14" ht="12" customHeight="1">
      <c r="A29" s="318"/>
      <c r="B29" s="333"/>
      <c r="C29" s="350" t="s">
        <v>390</v>
      </c>
      <c r="D29" s="365">
        <f>DATA!N72</f>
        <v>0</v>
      </c>
      <c r="E29" s="365"/>
      <c r="F29" s="365"/>
      <c r="G29" s="365"/>
      <c r="H29" s="365"/>
      <c r="I29" s="365"/>
      <c r="J29" s="366" t="s">
        <v>200</v>
      </c>
      <c r="K29" s="367"/>
      <c r="L29" s="368">
        <f>DATA!T72</f>
        <v>0</v>
      </c>
      <c r="M29" s="343"/>
      <c r="N29" s="349"/>
    </row>
    <row r="30" spans="1:14" ht="12" customHeight="1">
      <c r="A30" s="318"/>
      <c r="B30" s="333"/>
      <c r="C30" s="350" t="s">
        <v>391</v>
      </c>
      <c r="D30" s="365">
        <f>DATA!N74</f>
        <v>0</v>
      </c>
      <c r="E30" s="365"/>
      <c r="F30" s="365"/>
      <c r="G30" s="365"/>
      <c r="H30" s="365"/>
      <c r="I30" s="365"/>
      <c r="J30" s="366" t="s">
        <v>200</v>
      </c>
      <c r="K30" s="369"/>
      <c r="L30" s="368">
        <f>DATA!T74</f>
        <v>0</v>
      </c>
      <c r="M30" s="343"/>
      <c r="N30" s="349"/>
    </row>
    <row r="31" spans="1:14" ht="12" customHeight="1">
      <c r="A31" s="318"/>
      <c r="B31" s="333"/>
      <c r="C31" s="350" t="s">
        <v>392</v>
      </c>
      <c r="D31" s="365">
        <f>DATA!N75</f>
        <v>0</v>
      </c>
      <c r="E31" s="365"/>
      <c r="F31" s="365"/>
      <c r="G31" s="365"/>
      <c r="H31" s="365"/>
      <c r="I31" s="365"/>
      <c r="J31" s="366" t="s">
        <v>200</v>
      </c>
      <c r="K31" s="369"/>
      <c r="L31" s="368">
        <f>DATA!T75</f>
        <v>0</v>
      </c>
      <c r="M31" s="343"/>
      <c r="N31" s="349"/>
    </row>
    <row r="32" spans="1:14" ht="12" customHeight="1">
      <c r="A32" s="318"/>
      <c r="B32" s="333"/>
      <c r="C32" s="350" t="s">
        <v>393</v>
      </c>
      <c r="D32" s="351" t="s">
        <v>394</v>
      </c>
      <c r="E32" s="351"/>
      <c r="F32" s="351"/>
      <c r="G32" s="351"/>
      <c r="H32" s="351"/>
      <c r="I32" s="351"/>
      <c r="J32" s="370" t="s">
        <v>200</v>
      </c>
      <c r="K32" s="371"/>
      <c r="L32" s="372">
        <f>'Annexure -I'!U23</f>
        <v>120</v>
      </c>
      <c r="M32" s="343"/>
      <c r="N32" s="349"/>
    </row>
    <row r="33" spans="1:14" ht="13.5" customHeight="1">
      <c r="A33" s="318"/>
      <c r="B33" s="333"/>
      <c r="C33" s="339" t="s">
        <v>395</v>
      </c>
      <c r="D33" s="339"/>
      <c r="E33" s="339"/>
      <c r="F33" s="339"/>
      <c r="G33" s="339"/>
      <c r="H33" s="339"/>
      <c r="I33" s="339"/>
      <c r="J33" s="373" t="s">
        <v>200</v>
      </c>
      <c r="K33" s="374"/>
      <c r="L33" s="375">
        <f>SUM(L24:L32)</f>
        <v>77760</v>
      </c>
      <c r="M33" s="355">
        <f>L33</f>
        <v>77760</v>
      </c>
      <c r="N33" s="349"/>
    </row>
    <row r="34" spans="1:14" ht="15.75" customHeight="1">
      <c r="A34" s="318"/>
      <c r="B34" s="333">
        <v>14</v>
      </c>
      <c r="C34" s="339" t="s">
        <v>396</v>
      </c>
      <c r="D34" s="339"/>
      <c r="E34" s="339"/>
      <c r="F34" s="339"/>
      <c r="G34" s="339"/>
      <c r="H34" s="339"/>
      <c r="I34" s="339"/>
      <c r="J34" s="346" t="s">
        <v>200</v>
      </c>
      <c r="K34" s="347"/>
      <c r="L34" s="348"/>
      <c r="M34" s="356">
        <f>M22-M33</f>
        <v>915496</v>
      </c>
      <c r="N34" s="344"/>
    </row>
    <row r="35" spans="1:14" ht="14.25" customHeight="1">
      <c r="A35" s="318"/>
      <c r="B35" s="333">
        <v>15</v>
      </c>
      <c r="C35" s="339" t="s">
        <v>397</v>
      </c>
      <c r="D35" s="339"/>
      <c r="E35" s="339"/>
      <c r="F35" s="339"/>
      <c r="G35" s="339"/>
      <c r="H35" s="339"/>
      <c r="I35" s="339"/>
      <c r="J35" s="346"/>
      <c r="K35" s="347"/>
      <c r="L35" s="348"/>
      <c r="M35" s="343"/>
      <c r="N35" s="349"/>
    </row>
    <row r="36" spans="1:14" ht="12" customHeight="1">
      <c r="A36" s="318"/>
      <c r="B36" s="333"/>
      <c r="C36" s="350" t="s">
        <v>374</v>
      </c>
      <c r="D36" s="365">
        <f>DATA!AD34</f>
        <v>0</v>
      </c>
      <c r="E36" s="365"/>
      <c r="F36" s="365"/>
      <c r="G36" s="365"/>
      <c r="H36" s="365"/>
      <c r="I36" s="365"/>
      <c r="J36" s="352" t="s">
        <v>200</v>
      </c>
      <c r="K36" s="353"/>
      <c r="L36" s="368">
        <f>IF(DATA!AA34=3,U47,'Annexure -I'!O23)</f>
        <v>67280</v>
      </c>
      <c r="M36" s="343"/>
      <c r="N36" s="349"/>
    </row>
    <row r="37" spans="1:14" ht="12" customHeight="1">
      <c r="A37" s="318"/>
      <c r="B37" s="333"/>
      <c r="C37" s="350" t="s">
        <v>376</v>
      </c>
      <c r="D37" s="351" t="s">
        <v>252</v>
      </c>
      <c r="E37" s="351"/>
      <c r="F37" s="351"/>
      <c r="G37" s="376" t="s">
        <v>398</v>
      </c>
      <c r="H37" s="377">
        <f>DATA!C19</f>
        <v>0</v>
      </c>
      <c r="I37" s="378" t="s">
        <v>399</v>
      </c>
      <c r="J37" s="352" t="s">
        <v>200</v>
      </c>
      <c r="K37" s="353"/>
      <c r="L37" s="368">
        <f>'Annexure -I'!P23</f>
        <v>12000</v>
      </c>
      <c r="M37" s="343"/>
      <c r="N37" s="349"/>
    </row>
    <row r="38" spans="1:14" ht="12" customHeight="1">
      <c r="A38" s="318"/>
      <c r="B38" s="333"/>
      <c r="C38" s="350" t="s">
        <v>377</v>
      </c>
      <c r="D38" s="351" t="s">
        <v>194</v>
      </c>
      <c r="E38" s="351"/>
      <c r="F38" s="351"/>
      <c r="G38" s="351"/>
      <c r="H38" s="351"/>
      <c r="I38" s="351"/>
      <c r="J38" s="352" t="s">
        <v>200</v>
      </c>
      <c r="K38" s="353"/>
      <c r="L38" s="368">
        <f>'Annexure -I'!Q23</f>
        <v>720</v>
      </c>
      <c r="M38" s="343"/>
      <c r="N38" s="349"/>
    </row>
    <row r="39" spans="1:14" ht="12" customHeight="1">
      <c r="A39" s="318"/>
      <c r="B39" s="333"/>
      <c r="C39" s="350" t="s">
        <v>388</v>
      </c>
      <c r="D39" s="351" t="s">
        <v>400</v>
      </c>
      <c r="E39" s="351"/>
      <c r="F39" s="351"/>
      <c r="G39" s="351"/>
      <c r="H39" s="351"/>
      <c r="I39" s="351"/>
      <c r="J39" s="352" t="s">
        <v>200</v>
      </c>
      <c r="K39" s="353"/>
      <c r="L39" s="368">
        <f>'Annexure -I'!T23</f>
        <v>0</v>
      </c>
      <c r="M39" s="343"/>
      <c r="N39" s="349"/>
    </row>
    <row r="40" spans="1:14" ht="12" customHeight="1">
      <c r="A40" s="318"/>
      <c r="B40" s="333"/>
      <c r="C40" s="350" t="s">
        <v>389</v>
      </c>
      <c r="D40" s="351">
        <f>DATA!BA15</f>
        <v>0</v>
      </c>
      <c r="E40" s="351"/>
      <c r="F40" s="351"/>
      <c r="G40" s="351"/>
      <c r="H40" s="351"/>
      <c r="I40" s="351"/>
      <c r="J40" s="352" t="s">
        <v>200</v>
      </c>
      <c r="K40" s="353"/>
      <c r="L40" s="368">
        <f>DATA!E22</f>
        <v>70000</v>
      </c>
      <c r="M40" s="343"/>
      <c r="N40" s="349"/>
    </row>
    <row r="41" spans="1:14" ht="12" customHeight="1">
      <c r="A41" s="318"/>
      <c r="B41" s="333"/>
      <c r="C41" s="350" t="s">
        <v>390</v>
      </c>
      <c r="D41" s="351">
        <f>DATA!BA17</f>
        <v>0</v>
      </c>
      <c r="E41" s="351"/>
      <c r="F41" s="351"/>
      <c r="G41" s="351"/>
      <c r="H41" s="351"/>
      <c r="I41" s="351"/>
      <c r="J41" s="352" t="s">
        <v>200</v>
      </c>
      <c r="K41" s="353"/>
      <c r="L41" s="368">
        <f>DATA!E23</f>
        <v>0</v>
      </c>
      <c r="M41" s="343"/>
      <c r="N41" s="349"/>
    </row>
    <row r="42" spans="1:14" ht="12" customHeight="1">
      <c r="A42" s="318"/>
      <c r="B42" s="333"/>
      <c r="C42" s="350" t="s">
        <v>391</v>
      </c>
      <c r="D42" s="351">
        <f>DATA!BA18</f>
        <v>0</v>
      </c>
      <c r="E42" s="351"/>
      <c r="F42" s="351"/>
      <c r="G42" s="351"/>
      <c r="H42" s="351"/>
      <c r="I42" s="351"/>
      <c r="J42" s="352" t="s">
        <v>200</v>
      </c>
      <c r="K42" s="353"/>
      <c r="L42" s="368">
        <f>DATA!E24</f>
        <v>0</v>
      </c>
      <c r="M42" s="343"/>
      <c r="N42" s="349"/>
    </row>
    <row r="43" spans="1:14" ht="12" customHeight="1">
      <c r="A43" s="318"/>
      <c r="B43" s="333"/>
      <c r="C43" s="350" t="s">
        <v>392</v>
      </c>
      <c r="D43" s="351">
        <f>DATA!BA19</f>
        <v>0</v>
      </c>
      <c r="E43" s="351"/>
      <c r="F43" s="351"/>
      <c r="G43" s="351"/>
      <c r="H43" s="351"/>
      <c r="I43" s="351"/>
      <c r="J43" s="352" t="s">
        <v>200</v>
      </c>
      <c r="K43" s="353"/>
      <c r="L43" s="368">
        <f>DATA!E25</f>
        <v>0</v>
      </c>
      <c r="M43" s="343"/>
      <c r="N43" s="349"/>
    </row>
    <row r="44" spans="1:14" ht="12" customHeight="1">
      <c r="A44" s="318"/>
      <c r="B44" s="333"/>
      <c r="C44" s="350" t="s">
        <v>393</v>
      </c>
      <c r="D44" s="351">
        <f>DATA!BA20</f>
        <v>0</v>
      </c>
      <c r="E44" s="351"/>
      <c r="F44" s="351"/>
      <c r="G44" s="351"/>
      <c r="H44" s="351"/>
      <c r="I44" s="351"/>
      <c r="J44" s="352" t="s">
        <v>200</v>
      </c>
      <c r="K44" s="353"/>
      <c r="L44" s="368">
        <f>DATA!E26</f>
        <v>0</v>
      </c>
      <c r="M44" s="343"/>
      <c r="N44" s="349"/>
    </row>
    <row r="45" spans="1:22" ht="12" customHeight="1">
      <c r="A45" s="318"/>
      <c r="B45" s="333"/>
      <c r="C45" s="350" t="s">
        <v>401</v>
      </c>
      <c r="D45" s="351" t="s">
        <v>402</v>
      </c>
      <c r="E45" s="351"/>
      <c r="F45" s="351"/>
      <c r="G45" s="351"/>
      <c r="H45" s="351"/>
      <c r="I45" s="351"/>
      <c r="J45" s="352" t="s">
        <v>200</v>
      </c>
      <c r="K45" s="353"/>
      <c r="L45" s="379">
        <f>DATA!E27</f>
        <v>0</v>
      </c>
      <c r="M45" s="343"/>
      <c r="N45" s="349"/>
      <c r="P45" s="380"/>
      <c r="Q45" s="380" t="s">
        <v>403</v>
      </c>
      <c r="R45" s="380" t="s">
        <v>404</v>
      </c>
      <c r="S45" s="380" t="s">
        <v>246</v>
      </c>
      <c r="T45" s="380"/>
      <c r="U45" s="380" t="s">
        <v>405</v>
      </c>
      <c r="V45" s="380" t="s">
        <v>406</v>
      </c>
    </row>
    <row r="46" spans="1:22" ht="12" customHeight="1">
      <c r="A46" s="318"/>
      <c r="B46" s="333"/>
      <c r="C46" s="350" t="s">
        <v>407</v>
      </c>
      <c r="D46" s="351">
        <f>DATA!BA22</f>
        <v>0</v>
      </c>
      <c r="E46" s="351"/>
      <c r="F46" s="351"/>
      <c r="G46" s="351"/>
      <c r="H46" s="351"/>
      <c r="I46" s="351"/>
      <c r="J46" s="352" t="s">
        <v>200</v>
      </c>
      <c r="K46" s="353"/>
      <c r="L46" s="368">
        <f>DATA!E28</f>
        <v>0</v>
      </c>
      <c r="M46" s="343"/>
      <c r="N46" s="349"/>
      <c r="P46" s="381">
        <f>'Annexure -I'!O23</f>
        <v>77640</v>
      </c>
      <c r="Q46" s="382">
        <f>SUM(L37:L47)</f>
        <v>82720</v>
      </c>
      <c r="R46" s="382">
        <f>IF(Q46&gt;=150000,0,150000-Q46)</f>
        <v>67280</v>
      </c>
      <c r="S46" s="382">
        <f>IF(DATA!AA34&lt;3,0,P46)</f>
        <v>77640</v>
      </c>
      <c r="T46" s="380">
        <f>IF(R46&gt;S46,S46,R46)</f>
        <v>67280</v>
      </c>
      <c r="U46" s="380">
        <f>IF(T46=0,0,T46)</f>
        <v>67280</v>
      </c>
      <c r="V46" s="382">
        <f>IF(AND(Q46&gt;100000,S46&lt;=50000),S46,S46-U46)</f>
        <v>10360</v>
      </c>
    </row>
    <row r="47" spans="1:22" ht="11.25" customHeight="1">
      <c r="A47" s="318"/>
      <c r="B47" s="333"/>
      <c r="C47" s="350" t="s">
        <v>408</v>
      </c>
      <c r="D47" s="351" t="s">
        <v>409</v>
      </c>
      <c r="E47" s="351"/>
      <c r="F47" s="347">
        <f>DATA!B29</f>
        <v>0</v>
      </c>
      <c r="G47" s="347"/>
      <c r="H47" s="347"/>
      <c r="I47" s="351" t="s">
        <v>399</v>
      </c>
      <c r="J47" s="383" t="s">
        <v>200</v>
      </c>
      <c r="K47" s="384"/>
      <c r="L47" s="368">
        <f>DATA!E29</f>
        <v>0</v>
      </c>
      <c r="M47" s="343"/>
      <c r="N47" s="349"/>
      <c r="P47" s="380"/>
      <c r="Q47" s="380"/>
      <c r="R47" s="380"/>
      <c r="S47" s="380"/>
      <c r="T47" s="380"/>
      <c r="U47" s="380">
        <f>IF(S46=V46,0,U46)</f>
        <v>67280</v>
      </c>
      <c r="V47" s="382">
        <f>V46</f>
        <v>10360</v>
      </c>
    </row>
    <row r="48" spans="1:22" ht="14.25" customHeight="1">
      <c r="A48" s="318"/>
      <c r="B48" s="333"/>
      <c r="C48" s="339" t="s">
        <v>410</v>
      </c>
      <c r="D48" s="339"/>
      <c r="E48" s="339"/>
      <c r="F48" s="339"/>
      <c r="G48" s="385"/>
      <c r="H48" s="385"/>
      <c r="I48" s="386"/>
      <c r="J48" s="373" t="s">
        <v>200</v>
      </c>
      <c r="K48" s="374"/>
      <c r="L48" s="375">
        <f>SUM(L36:L47)</f>
        <v>150000</v>
      </c>
      <c r="M48" s="387">
        <f>IF(L48&lt;=150000,L48,150000)</f>
        <v>150000</v>
      </c>
      <c r="N48" s="388"/>
      <c r="P48" s="389"/>
      <c r="Q48" s="389"/>
      <c r="R48" s="389"/>
      <c r="S48" s="389"/>
      <c r="T48" s="389"/>
      <c r="U48" s="390"/>
      <c r="V48" s="390"/>
    </row>
    <row r="49" spans="1:22" ht="14.25" customHeight="1">
      <c r="A49" s="318"/>
      <c r="B49" s="333"/>
      <c r="C49" s="339"/>
      <c r="D49" s="391">
        <f>CONCATENATE("Additional benefit under NPS U/s 80CCD(1B) (PRAN-",DATA!F17,")")</f>
        <v>0</v>
      </c>
      <c r="E49" s="391"/>
      <c r="F49" s="391"/>
      <c r="G49" s="391"/>
      <c r="H49" s="391"/>
      <c r="I49" s="391"/>
      <c r="J49" s="346"/>
      <c r="K49" s="347"/>
      <c r="L49" s="348">
        <f>IF(DATA!AA34&lt;3,0,V47)</f>
        <v>10360</v>
      </c>
      <c r="M49" s="343">
        <f>IF(L49&lt;50000,L49,50000)</f>
        <v>10360</v>
      </c>
      <c r="N49" s="388"/>
      <c r="P49" s="392">
        <f>IF(DATA!AA34&lt;3,0,IF(AND(P46=U46,DATA!AA34=3),0,IF(DATA!AA34=3,V46)))</f>
        <v>10360</v>
      </c>
      <c r="Q49" s="389" t="s">
        <v>411</v>
      </c>
      <c r="R49" s="389"/>
      <c r="S49" s="389"/>
      <c r="T49" s="389"/>
      <c r="U49" s="390">
        <f>IF(Q46&lt;=100000,S46,0)</f>
        <v>77640</v>
      </c>
      <c r="V49" s="390">
        <f>IF(Q46&gt;=100000,S46,0)</f>
        <v>0</v>
      </c>
    </row>
    <row r="50" spans="1:22" ht="13.5" customHeight="1">
      <c r="A50" s="318"/>
      <c r="B50" s="333"/>
      <c r="C50" s="393"/>
      <c r="D50" s="394">
        <f>DATA!G30</f>
        <v>0</v>
      </c>
      <c r="E50" s="394"/>
      <c r="F50" s="394"/>
      <c r="G50" s="394"/>
      <c r="H50" s="394"/>
      <c r="I50" s="395"/>
      <c r="J50" s="346" t="s">
        <v>200</v>
      </c>
      <c r="K50" s="347"/>
      <c r="L50" s="348">
        <f>IF(M7&gt;1200000,0,DATA!M30)</f>
        <v>0</v>
      </c>
      <c r="M50" s="343">
        <f>IF(ROUND(L50/2,0.1)&lt;=25000,ROUND(L50/2,0.1),25000)</f>
        <v>0</v>
      </c>
      <c r="N50" s="388"/>
      <c r="P50" s="389"/>
      <c r="Q50" s="389"/>
      <c r="R50" s="389"/>
      <c r="S50" s="389"/>
      <c r="T50" s="389"/>
      <c r="U50" s="390"/>
      <c r="V50" s="390"/>
    </row>
    <row r="51" spans="1:14" ht="13.5" customHeight="1">
      <c r="A51" s="318"/>
      <c r="B51" s="333"/>
      <c r="C51" s="345"/>
      <c r="D51" s="396" t="s">
        <v>412</v>
      </c>
      <c r="E51" s="396"/>
      <c r="F51" s="396"/>
      <c r="G51" s="396"/>
      <c r="H51" s="396"/>
      <c r="I51" s="396"/>
      <c r="J51" s="346" t="s">
        <v>200</v>
      </c>
      <c r="K51" s="347"/>
      <c r="L51" s="348">
        <f>DATA!M29</f>
        <v>0</v>
      </c>
      <c r="M51" s="343">
        <f>IF(L51&lt;10000,L51,10000)</f>
        <v>0</v>
      </c>
      <c r="N51" s="388"/>
    </row>
    <row r="52" spans="1:14" ht="12.75" customHeight="1">
      <c r="A52" s="318"/>
      <c r="B52" s="333">
        <v>16</v>
      </c>
      <c r="C52" s="339" t="s">
        <v>413</v>
      </c>
      <c r="D52" s="339"/>
      <c r="E52" s="339"/>
      <c r="F52" s="339"/>
      <c r="G52" s="339"/>
      <c r="H52" s="339"/>
      <c r="I52" s="339"/>
      <c r="J52" s="397" t="s">
        <v>200</v>
      </c>
      <c r="K52" s="398"/>
      <c r="L52" s="364"/>
      <c r="M52" s="399">
        <f>ROUND(M34-M48-M49-M50-M51,-1)</f>
        <v>755140</v>
      </c>
      <c r="N52" s="344"/>
    </row>
    <row r="53" spans="1:14" ht="12.75" customHeight="1">
      <c r="A53" s="318"/>
      <c r="B53" s="333">
        <v>17</v>
      </c>
      <c r="C53" s="339" t="s">
        <v>414</v>
      </c>
      <c r="D53" s="339"/>
      <c r="E53" s="339"/>
      <c r="F53" s="339"/>
      <c r="G53" s="339"/>
      <c r="H53" s="339"/>
      <c r="I53" s="385"/>
      <c r="J53" s="352"/>
      <c r="K53" s="353"/>
      <c r="L53" s="354"/>
      <c r="M53" s="400"/>
      <c r="N53" s="349"/>
    </row>
    <row r="54" spans="1:14" ht="12" customHeight="1">
      <c r="A54" s="318"/>
      <c r="B54" s="333"/>
      <c r="C54" s="350" t="s">
        <v>374</v>
      </c>
      <c r="D54" s="378" t="s">
        <v>337</v>
      </c>
      <c r="E54" s="378"/>
      <c r="F54" s="378"/>
      <c r="G54" s="378"/>
      <c r="H54" s="378"/>
      <c r="I54" s="401"/>
      <c r="J54" s="352" t="s">
        <v>200</v>
      </c>
      <c r="K54" s="353"/>
      <c r="L54" s="354"/>
      <c r="M54" s="402" t="s">
        <v>415</v>
      </c>
      <c r="N54" s="403"/>
    </row>
    <row r="55" spans="1:28" ht="12" customHeight="1">
      <c r="A55" s="318"/>
      <c r="B55" s="333"/>
      <c r="C55" s="350" t="s">
        <v>376</v>
      </c>
      <c r="D55" s="378" t="s">
        <v>416</v>
      </c>
      <c r="E55" s="378"/>
      <c r="F55" s="378"/>
      <c r="G55" s="378"/>
      <c r="H55" s="378"/>
      <c r="I55" s="401"/>
      <c r="J55" s="352" t="s">
        <v>200</v>
      </c>
      <c r="K55" s="353"/>
      <c r="L55" s="354"/>
      <c r="M55" s="400">
        <f>AD57</f>
        <v>25000</v>
      </c>
      <c r="N55" s="404"/>
      <c r="X55" s="317">
        <f>DATA!AA25</f>
        <v>1</v>
      </c>
      <c r="Z55" s="405">
        <f>M52</f>
        <v>755140</v>
      </c>
      <c r="AA55" s="405"/>
      <c r="AB55" s="405"/>
    </row>
    <row r="56" spans="1:30" ht="12" customHeight="1">
      <c r="A56" s="318"/>
      <c r="B56" s="333"/>
      <c r="C56" s="350" t="s">
        <v>377</v>
      </c>
      <c r="D56" s="378" t="s">
        <v>417</v>
      </c>
      <c r="E56" s="378"/>
      <c r="F56" s="378"/>
      <c r="G56" s="378"/>
      <c r="H56" s="378"/>
      <c r="I56" s="401"/>
      <c r="J56" s="352" t="s">
        <v>200</v>
      </c>
      <c r="K56" s="353"/>
      <c r="L56" s="354"/>
      <c r="M56" s="400">
        <f aca="true" t="shared" si="0" ref="M56:M57">AD59</f>
        <v>51028</v>
      </c>
      <c r="N56" s="404"/>
      <c r="AA56" s="317">
        <v>250000</v>
      </c>
      <c r="AB56" s="317">
        <v>250000</v>
      </c>
      <c r="AC56" s="317">
        <f aca="true" t="shared" si="1" ref="AC56:AC57">IF(X54=1,AA56,AB56)</f>
        <v>250000</v>
      </c>
      <c r="AD56" s="317">
        <v>0</v>
      </c>
    </row>
    <row r="57" spans="1:30" ht="12" customHeight="1">
      <c r="A57" s="318"/>
      <c r="B57" s="333"/>
      <c r="C57" s="350" t="s">
        <v>388</v>
      </c>
      <c r="D57" s="406" t="s">
        <v>418</v>
      </c>
      <c r="E57" s="406"/>
      <c r="F57" s="406"/>
      <c r="G57" s="406"/>
      <c r="H57" s="406"/>
      <c r="I57" s="401"/>
      <c r="J57" s="352" t="s">
        <v>200</v>
      </c>
      <c r="K57" s="353"/>
      <c r="L57" s="354"/>
      <c r="M57" s="400">
        <f t="shared" si="0"/>
        <v>0</v>
      </c>
      <c r="N57" s="404"/>
      <c r="W57" s="317">
        <f>D55</f>
        <v>0</v>
      </c>
      <c r="AA57" s="317">
        <f>IF(AND(Z55&gt;500000),250000,IF(AND(Z55&gt;250000,Z55&lt;=500000),Z55-250000,0))</f>
        <v>250000</v>
      </c>
      <c r="AB57" s="317">
        <f>IF(AND(Z55&gt;500000),250000,IF(AND(Z55&gt;250000,Z55&lt;=500000),Z55-250000,0))</f>
        <v>250000</v>
      </c>
      <c r="AC57" s="317">
        <f t="shared" si="1"/>
        <v>250000</v>
      </c>
      <c r="AD57" s="317">
        <f>ROUND(AC57*10%,0.1)</f>
        <v>25000</v>
      </c>
    </row>
    <row r="58" spans="1:14" ht="12" customHeight="1">
      <c r="A58" s="318"/>
      <c r="B58" s="333">
        <v>18</v>
      </c>
      <c r="C58" s="345" t="s">
        <v>419</v>
      </c>
      <c r="D58" s="345"/>
      <c r="E58" s="345"/>
      <c r="F58" s="345"/>
      <c r="G58" s="345"/>
      <c r="H58" s="345"/>
      <c r="I58" s="345"/>
      <c r="J58" s="352" t="s">
        <v>200</v>
      </c>
      <c r="K58" s="353"/>
      <c r="L58" s="354"/>
      <c r="M58" s="400">
        <f>IF(AND(M52&lt;200001),0,IF(AND(M52&gt;500000),0,IF(AND(M55&lt;=2000),M55,2000)))</f>
        <v>0</v>
      </c>
      <c r="N58" s="407"/>
    </row>
    <row r="59" spans="1:30" ht="12.75" customHeight="1">
      <c r="A59" s="318"/>
      <c r="B59" s="333">
        <v>19</v>
      </c>
      <c r="C59" s="359" t="s">
        <v>420</v>
      </c>
      <c r="D59" s="359"/>
      <c r="E59" s="359"/>
      <c r="F59" s="359"/>
      <c r="G59" s="359"/>
      <c r="H59" s="359"/>
      <c r="I59" s="401"/>
      <c r="J59" s="352" t="s">
        <v>200</v>
      </c>
      <c r="K59" s="408"/>
      <c r="L59" s="354"/>
      <c r="M59" s="400">
        <f>IF(AND(M55&lt;=2000),0,IF(AND(M52&lt;=500000),W64,X64))</f>
        <v>760</v>
      </c>
      <c r="N59" s="349"/>
      <c r="W59" s="317">
        <f aca="true" t="shared" si="2" ref="W59:W60">D56</f>
        <v>0</v>
      </c>
      <c r="AA59" s="317">
        <f>IF(AND(Z55&gt;1000000),500000,IF(AND(Z55&gt;500000,Z55&lt;=1000000),Z55-500000,0))</f>
        <v>255140</v>
      </c>
      <c r="AB59" s="317">
        <f aca="true" t="shared" si="3" ref="AB59:AB60">AA59</f>
        <v>255140</v>
      </c>
      <c r="AC59" s="317">
        <f aca="true" t="shared" si="4" ref="AC59:AC60">IF(X56=1,AA59,AB59)</f>
        <v>255140</v>
      </c>
      <c r="AD59" s="317">
        <f>ROUND(AC59*20%,0.1)</f>
        <v>51028</v>
      </c>
    </row>
    <row r="60" spans="1:30" ht="12.75" customHeight="1">
      <c r="A60" s="318"/>
      <c r="B60" s="333">
        <v>20</v>
      </c>
      <c r="C60" s="359" t="s">
        <v>421</v>
      </c>
      <c r="D60" s="359"/>
      <c r="E60" s="359"/>
      <c r="F60" s="359"/>
      <c r="G60" s="359"/>
      <c r="H60" s="359"/>
      <c r="I60" s="401"/>
      <c r="J60" s="352" t="s">
        <v>200</v>
      </c>
      <c r="K60" s="408"/>
      <c r="L60" s="354"/>
      <c r="M60" s="400">
        <f>IF(AND(M55&lt;=2000),0,IF(AND(M52&lt;=500000),W65,X65))</f>
        <v>1521</v>
      </c>
      <c r="N60" s="349"/>
      <c r="O60" s="405"/>
      <c r="W60" s="317">
        <f t="shared" si="2"/>
        <v>0</v>
      </c>
      <c r="AA60" s="317">
        <f>IF(AND(Z55&gt;1000000),Z55-1000000,0)</f>
        <v>0</v>
      </c>
      <c r="AB60" s="317">
        <f t="shared" si="3"/>
        <v>0</v>
      </c>
      <c r="AC60" s="317">
        <f t="shared" si="4"/>
        <v>0</v>
      </c>
      <c r="AD60" s="317">
        <f>ROUND(AC60*30%,0.1)</f>
        <v>0</v>
      </c>
    </row>
    <row r="61" spans="1:29" s="416" customFormat="1" ht="18.75" customHeight="1">
      <c r="A61" s="409"/>
      <c r="B61" s="410">
        <v>21</v>
      </c>
      <c r="C61" s="411" t="s">
        <v>422</v>
      </c>
      <c r="D61" s="411"/>
      <c r="E61" s="411"/>
      <c r="F61" s="411"/>
      <c r="G61" s="411"/>
      <c r="H61" s="411"/>
      <c r="I61" s="411"/>
      <c r="J61" s="412" t="s">
        <v>200</v>
      </c>
      <c r="K61" s="413"/>
      <c r="L61" s="414"/>
      <c r="M61" s="415">
        <f>SUM(M55,M56,M57,M59,M60)-M58</f>
        <v>78309</v>
      </c>
      <c r="N61" s="344"/>
      <c r="AA61" s="416">
        <f>SUM(AA56:AA60)</f>
        <v>755140</v>
      </c>
      <c r="AB61" s="416">
        <f>SUM(AB56:AB60)</f>
        <v>755140</v>
      </c>
      <c r="AC61" s="416">
        <f>SUM(AC56:AC60)</f>
        <v>755140</v>
      </c>
    </row>
    <row r="62" spans="1:14" ht="12.75" customHeight="1">
      <c r="A62" s="318"/>
      <c r="B62" s="333">
        <v>22</v>
      </c>
      <c r="C62" s="339" t="s">
        <v>423</v>
      </c>
      <c r="D62" s="339"/>
      <c r="E62" s="339"/>
      <c r="F62" s="339"/>
      <c r="G62" s="339"/>
      <c r="H62" s="339"/>
      <c r="I62" s="417"/>
      <c r="J62" s="352" t="s">
        <v>200</v>
      </c>
      <c r="K62" s="353"/>
      <c r="L62" s="354"/>
      <c r="M62" s="400"/>
      <c r="N62" s="349"/>
    </row>
    <row r="63" spans="1:14" ht="12" customHeight="1">
      <c r="A63" s="318"/>
      <c r="B63" s="333"/>
      <c r="C63" s="350" t="s">
        <v>374</v>
      </c>
      <c r="D63" s="378" t="s">
        <v>424</v>
      </c>
      <c r="E63" s="418">
        <v>42309</v>
      </c>
      <c r="F63" s="418"/>
      <c r="G63" s="419" t="s">
        <v>200</v>
      </c>
      <c r="H63" s="420">
        <f>SUM(DATA!P23:P31)</f>
        <v>0</v>
      </c>
      <c r="I63" s="401"/>
      <c r="J63" s="393"/>
      <c r="K63" s="347"/>
      <c r="L63" s="348"/>
      <c r="M63" s="421"/>
      <c r="N63" s="349"/>
    </row>
    <row r="64" spans="1:24" ht="12" customHeight="1">
      <c r="A64" s="318"/>
      <c r="B64" s="333"/>
      <c r="C64" s="350" t="s">
        <v>376</v>
      </c>
      <c r="D64" s="378"/>
      <c r="E64" s="418">
        <v>42339</v>
      </c>
      <c r="F64" s="418"/>
      <c r="G64" s="419" t="s">
        <v>200</v>
      </c>
      <c r="H64" s="420">
        <f>DATA!P32</f>
        <v>0</v>
      </c>
      <c r="I64" s="401"/>
      <c r="J64" s="393"/>
      <c r="K64" s="347"/>
      <c r="L64" s="348"/>
      <c r="M64" s="421"/>
      <c r="N64" s="349"/>
      <c r="W64" s="317">
        <f>ROUND((M55-M58)*1%,0.1)</f>
        <v>250</v>
      </c>
      <c r="X64" s="317">
        <f>ROUND((M55+M56+M57)*1%,0.1)</f>
        <v>760</v>
      </c>
    </row>
    <row r="65" spans="1:24" ht="12" customHeight="1">
      <c r="A65" s="318"/>
      <c r="B65" s="333"/>
      <c r="C65" s="350" t="s">
        <v>377</v>
      </c>
      <c r="D65" s="378"/>
      <c r="E65" s="418">
        <v>42370</v>
      </c>
      <c r="F65" s="418"/>
      <c r="G65" s="419" t="s">
        <v>200</v>
      </c>
      <c r="H65" s="420">
        <f>DATA!P33</f>
        <v>0</v>
      </c>
      <c r="I65" s="401"/>
      <c r="J65" s="393"/>
      <c r="K65" s="347"/>
      <c r="L65" s="348"/>
      <c r="M65" s="421"/>
      <c r="N65" s="349"/>
      <c r="W65" s="317">
        <f>ROUND((M55-M58)*2%,0.1)</f>
        <v>500</v>
      </c>
      <c r="X65" s="317">
        <f>ROUND((M55+M56+M57)*2%,0.1)</f>
        <v>1521</v>
      </c>
    </row>
    <row r="66" spans="1:14" ht="12" customHeight="1">
      <c r="A66" s="318"/>
      <c r="B66" s="333"/>
      <c r="C66" s="350" t="s">
        <v>388</v>
      </c>
      <c r="D66" s="378"/>
      <c r="E66" s="418">
        <v>42401</v>
      </c>
      <c r="F66" s="418"/>
      <c r="G66" s="419" t="s">
        <v>200</v>
      </c>
      <c r="H66" s="420">
        <f>DATA!P34</f>
        <v>0</v>
      </c>
      <c r="I66" s="401"/>
      <c r="J66" s="393"/>
      <c r="K66" s="347"/>
      <c r="L66" s="348"/>
      <c r="M66" s="421"/>
      <c r="N66" s="349"/>
    </row>
    <row r="67" spans="1:14" ht="12.75" customHeight="1">
      <c r="A67" s="318"/>
      <c r="B67" s="333"/>
      <c r="C67" s="350"/>
      <c r="D67" s="351" t="s">
        <v>425</v>
      </c>
      <c r="E67" s="351"/>
      <c r="F67" s="351"/>
      <c r="G67" s="351"/>
      <c r="H67" s="422">
        <f>SUM(H63:H66)</f>
        <v>0</v>
      </c>
      <c r="I67" s="401"/>
      <c r="J67" s="393"/>
      <c r="K67" s="347"/>
      <c r="L67" s="348"/>
      <c r="M67" s="421"/>
      <c r="N67" s="349"/>
    </row>
    <row r="68" spans="1:14" ht="12.75" customHeight="1">
      <c r="A68" s="318"/>
      <c r="B68" s="423">
        <v>23</v>
      </c>
      <c r="C68" s="424" t="s">
        <v>426</v>
      </c>
      <c r="D68" s="424"/>
      <c r="E68" s="424"/>
      <c r="F68" s="424"/>
      <c r="G68" s="424"/>
      <c r="H68" s="424"/>
      <c r="I68" s="425"/>
      <c r="J68" s="426" t="s">
        <v>200</v>
      </c>
      <c r="K68" s="427"/>
      <c r="L68" s="428"/>
      <c r="M68" s="429">
        <f>M61-H67</f>
        <v>78309</v>
      </c>
      <c r="N68" s="349"/>
    </row>
    <row r="69" spans="1:14" ht="12" customHeight="1">
      <c r="A69" s="318"/>
      <c r="B69" s="430"/>
      <c r="C69" s="431"/>
      <c r="D69" s="431"/>
      <c r="E69" s="431"/>
      <c r="F69" s="431"/>
      <c r="G69" s="431"/>
      <c r="H69" s="431"/>
      <c r="I69" s="431"/>
      <c r="J69" s="432"/>
      <c r="K69" s="432"/>
      <c r="L69" s="433"/>
      <c r="M69" s="434"/>
      <c r="N69" s="349"/>
    </row>
    <row r="70" spans="1:14" s="440" customFormat="1" ht="22.5" customHeight="1">
      <c r="A70" s="435"/>
      <c r="B70" s="436"/>
      <c r="C70" s="437"/>
      <c r="D70" s="437"/>
      <c r="E70" s="437"/>
      <c r="F70" s="437"/>
      <c r="G70" s="437"/>
      <c r="H70" s="437"/>
      <c r="I70" s="431"/>
      <c r="J70" s="432"/>
      <c r="K70" s="432"/>
      <c r="L70" s="432"/>
      <c r="M70" s="438"/>
      <c r="N70" s="439"/>
    </row>
    <row r="71" spans="1:14" s="440" customFormat="1" ht="15.75" customHeight="1">
      <c r="A71" s="435"/>
      <c r="B71" s="441" t="s">
        <v>427</v>
      </c>
      <c r="C71" s="441"/>
      <c r="D71" s="441"/>
      <c r="E71" s="441"/>
      <c r="F71" s="441"/>
      <c r="G71" s="441"/>
      <c r="H71" s="441"/>
      <c r="I71" s="442"/>
      <c r="J71" s="443" t="s">
        <v>428</v>
      </c>
      <c r="K71" s="443"/>
      <c r="L71" s="443"/>
      <c r="M71" s="443"/>
      <c r="N71" s="439"/>
    </row>
    <row r="72" spans="1:14" s="440" customFormat="1" ht="7.5" customHeight="1">
      <c r="A72" s="435"/>
      <c r="B72" s="444" t="s">
        <v>429</v>
      </c>
      <c r="C72" s="445"/>
      <c r="D72" s="445"/>
      <c r="E72" s="445"/>
      <c r="F72" s="445"/>
      <c r="G72" s="445"/>
      <c r="H72" s="445"/>
      <c r="I72" s="442"/>
      <c r="J72" s="446"/>
      <c r="K72" s="446"/>
      <c r="L72" s="447"/>
      <c r="M72" s="448"/>
      <c r="N72" s="349"/>
    </row>
    <row r="73" spans="1:14" s="440" customFormat="1" ht="15.75" customHeight="1">
      <c r="A73" s="435"/>
      <c r="B73" s="449" t="s">
        <v>430</v>
      </c>
      <c r="C73" s="450"/>
      <c r="D73" s="450"/>
      <c r="E73" s="450"/>
      <c r="F73" s="450"/>
      <c r="G73" s="451"/>
      <c r="H73" s="450"/>
      <c r="I73" s="450"/>
      <c r="J73" s="452"/>
      <c r="K73" s="452"/>
      <c r="L73" s="453"/>
      <c r="M73" s="454"/>
      <c r="N73" s="349"/>
    </row>
    <row r="74" ht="15" customHeight="1" hidden="1"/>
    <row r="75" ht="16.5" customHeight="1" hidden="1"/>
    <row r="76" ht="16.5" customHeight="1" hidden="1"/>
    <row r="77" ht="16.5" customHeight="1" hidden="1"/>
    <row r="78" ht="16.5" customHeight="1" hidden="1"/>
    <row r="79" ht="16.5" customHeight="1" hidden="1"/>
    <row r="80" ht="16.5" customHeight="1" hidden="1"/>
    <row r="81" ht="16.5" customHeight="1" hidden="1"/>
    <row r="82" ht="15" customHeight="1" hidden="1"/>
    <row r="83" ht="15" customHeight="1" hidden="1"/>
    <row r="84" ht="15" customHeight="1" hidden="1"/>
    <row r="85" ht="15" customHeight="1" hidden="1"/>
    <row r="86" ht="15" customHeight="1" hidden="1"/>
    <row r="87" ht="15" customHeight="1" hidden="1"/>
    <row r="88" ht="15" customHeight="1" hidden="1"/>
    <row r="89" ht="15" customHeight="1" hidden="1"/>
    <row r="90" ht="15" customHeight="1" hidden="1"/>
    <row r="91" ht="15" customHeight="1" hidden="1"/>
    <row r="92" ht="15" customHeight="1" hidden="1"/>
    <row r="93" ht="15" customHeight="1" hidden="1"/>
  </sheetData>
  <sheetProtection password="F3B7" sheet="1" scenarios="1" selectLockedCells="1"/>
  <mergeCells count="65">
    <mergeCell ref="B2:M2"/>
    <mergeCell ref="B3:M3"/>
    <mergeCell ref="B4:D4"/>
    <mergeCell ref="E4:H4"/>
    <mergeCell ref="J4:M4"/>
    <mergeCell ref="B5:D5"/>
    <mergeCell ref="E5:H5"/>
    <mergeCell ref="J5:M5"/>
    <mergeCell ref="C6:G6"/>
    <mergeCell ref="H6:J6"/>
    <mergeCell ref="L6:M6"/>
    <mergeCell ref="C7:I7"/>
    <mergeCell ref="C8:I8"/>
    <mergeCell ref="D9:I9"/>
    <mergeCell ref="D10:I10"/>
    <mergeCell ref="D11:I11"/>
    <mergeCell ref="C12:I12"/>
    <mergeCell ref="C13:I13"/>
    <mergeCell ref="D14:I14"/>
    <mergeCell ref="D15:H15"/>
    <mergeCell ref="C16:I16"/>
    <mergeCell ref="C17:I17"/>
    <mergeCell ref="C18:I18"/>
    <mergeCell ref="C19:I19"/>
    <mergeCell ref="C20:I20"/>
    <mergeCell ref="C22:I22"/>
    <mergeCell ref="C23:I23"/>
    <mergeCell ref="D24:I24"/>
    <mergeCell ref="D25:I25"/>
    <mergeCell ref="D26:I26"/>
    <mergeCell ref="D27:I27"/>
    <mergeCell ref="D28:I28"/>
    <mergeCell ref="D29:I29"/>
    <mergeCell ref="D30:I30"/>
    <mergeCell ref="D31:I31"/>
    <mergeCell ref="D32:I32"/>
    <mergeCell ref="C33:I33"/>
    <mergeCell ref="C34:I34"/>
    <mergeCell ref="C35:I35"/>
    <mergeCell ref="D36:I36"/>
    <mergeCell ref="D37:E37"/>
    <mergeCell ref="D39:I39"/>
    <mergeCell ref="D40:I40"/>
    <mergeCell ref="F47:H47"/>
    <mergeCell ref="C48:F48"/>
    <mergeCell ref="D49:I49"/>
    <mergeCell ref="C52:I52"/>
    <mergeCell ref="C53:H53"/>
    <mergeCell ref="D54:H54"/>
    <mergeCell ref="D55:H55"/>
    <mergeCell ref="D56:H56"/>
    <mergeCell ref="D57:H57"/>
    <mergeCell ref="C58:I58"/>
    <mergeCell ref="C59:H59"/>
    <mergeCell ref="C60:H60"/>
    <mergeCell ref="C61:I61"/>
    <mergeCell ref="C62:H62"/>
    <mergeCell ref="E63:F63"/>
    <mergeCell ref="E64:F64"/>
    <mergeCell ref="E65:F65"/>
    <mergeCell ref="E66:F66"/>
    <mergeCell ref="D67:G67"/>
    <mergeCell ref="C68:H68"/>
    <mergeCell ref="B71:H71"/>
    <mergeCell ref="J71:M71"/>
  </mergeCells>
  <printOptions horizontalCentered="1" verticalCentered="1"/>
  <pageMargins left="0.5513888888888889" right="0.19652777777777777" top="0.39375" bottom="0.31527777777777777" header="0.5118055555555555" footer="0.5118055555555555"/>
  <pageSetup horizontalDpi="300" verticalDpi="300" orientation="portrait" paperSize="9" scale="84"/>
  <rowBreaks count="1" manualBreakCount="1">
    <brk id="4840" max="255" man="1"/>
  </rowBreaks>
</worksheet>
</file>

<file path=xl/worksheets/sheet5.xml><?xml version="1.0" encoding="utf-8"?>
<worksheet xmlns="http://schemas.openxmlformats.org/spreadsheetml/2006/main" xmlns:r="http://schemas.openxmlformats.org/officeDocument/2006/relationships">
  <dimension ref="B1:AD65"/>
  <sheetViews>
    <sheetView showGridLines="0" showRowColHeaders="0" workbookViewId="0" topLeftCell="A40">
      <selection activeCell="D65" sqref="D65"/>
    </sheetView>
  </sheetViews>
  <sheetFormatPr defaultColWidth="1.1484375" defaultRowHeight="12.75" customHeight="1" zeroHeight="1"/>
  <cols>
    <col min="1" max="1" width="1.421875" style="318" customWidth="1"/>
    <col min="2" max="2" width="4.28125" style="318" customWidth="1"/>
    <col min="3" max="3" width="3.00390625" style="318" customWidth="1"/>
    <col min="4" max="4" width="15.7109375" style="318" customWidth="1"/>
    <col min="5" max="5" width="22.8515625" style="318" customWidth="1"/>
    <col min="6" max="6" width="2.8515625" style="318" customWidth="1"/>
    <col min="7" max="7" width="9.28125" style="318" customWidth="1"/>
    <col min="8" max="8" width="0.71875" style="318" customWidth="1"/>
    <col min="9" max="9" width="2.8515625" style="318" customWidth="1"/>
    <col min="10" max="10" width="10.00390625" style="318" customWidth="1"/>
    <col min="11" max="11" width="2.8515625" style="318" customWidth="1"/>
    <col min="12" max="12" width="10.00390625" style="318" customWidth="1"/>
    <col min="13" max="13" width="2.8515625" style="318" customWidth="1"/>
    <col min="14" max="14" width="10.7109375" style="318" customWidth="1"/>
    <col min="15" max="15" width="2.00390625" style="318" customWidth="1"/>
    <col min="16" max="25" width="0" style="318" hidden="1" customWidth="1"/>
    <col min="26" max="26" width="0" style="319" hidden="1" customWidth="1"/>
    <col min="27" max="16384" width="0" style="318" hidden="1" customWidth="1"/>
  </cols>
  <sheetData>
    <row r="1" spans="2:24" ht="37.5" customHeight="1">
      <c r="B1" s="455" t="s">
        <v>431</v>
      </c>
      <c r="C1" s="455"/>
      <c r="D1" s="455"/>
      <c r="E1" s="455"/>
      <c r="F1" s="455"/>
      <c r="G1" s="455"/>
      <c r="H1" s="455"/>
      <c r="I1" s="455"/>
      <c r="J1" s="455"/>
      <c r="K1" s="455"/>
      <c r="L1" s="455"/>
      <c r="M1" s="455"/>
      <c r="N1" s="455"/>
      <c r="O1" s="456"/>
      <c r="P1" s="456"/>
      <c r="Q1" s="456"/>
      <c r="R1" s="456"/>
      <c r="S1" s="456"/>
      <c r="T1" s="456"/>
      <c r="U1" s="456"/>
      <c r="V1" s="456"/>
      <c r="W1" s="456"/>
      <c r="X1" s="456"/>
    </row>
    <row r="2" spans="2:24" ht="11.25" customHeight="1">
      <c r="B2" s="457" t="s">
        <v>432</v>
      </c>
      <c r="C2" s="457"/>
      <c r="D2" s="457"/>
      <c r="E2" s="457"/>
      <c r="F2" s="457"/>
      <c r="G2" s="457"/>
      <c r="H2" s="457"/>
      <c r="I2" s="457"/>
      <c r="J2" s="457"/>
      <c r="K2" s="457"/>
      <c r="L2" s="457"/>
      <c r="M2" s="457"/>
      <c r="N2" s="457"/>
      <c r="O2" s="458"/>
      <c r="P2" s="458"/>
      <c r="Q2" s="458"/>
      <c r="R2" s="458"/>
      <c r="S2" s="458"/>
      <c r="T2" s="458"/>
      <c r="U2" s="458"/>
      <c r="V2" s="458"/>
      <c r="W2" s="458"/>
      <c r="X2" s="458"/>
    </row>
    <row r="3" spans="2:24" ht="14.25" customHeight="1">
      <c r="B3" s="457"/>
      <c r="C3" s="457"/>
      <c r="D3" s="457"/>
      <c r="E3" s="457"/>
      <c r="F3" s="457"/>
      <c r="G3" s="457"/>
      <c r="H3" s="457"/>
      <c r="I3" s="457"/>
      <c r="J3" s="457"/>
      <c r="K3" s="457"/>
      <c r="L3" s="457"/>
      <c r="M3" s="457"/>
      <c r="N3" s="457"/>
      <c r="O3" s="458"/>
      <c r="P3" s="458"/>
      <c r="Q3" s="458"/>
      <c r="R3" s="458"/>
      <c r="S3" s="458"/>
      <c r="T3" s="458"/>
      <c r="U3" s="458"/>
      <c r="V3" s="458"/>
      <c r="W3" s="458"/>
      <c r="X3" s="458"/>
    </row>
    <row r="4" spans="2:24" ht="15" customHeight="1">
      <c r="B4" s="459" t="s">
        <v>433</v>
      </c>
      <c r="C4" s="459"/>
      <c r="D4" s="459"/>
      <c r="E4" s="459"/>
      <c r="F4" s="459"/>
      <c r="G4" s="459"/>
      <c r="H4" s="459"/>
      <c r="I4" s="460" t="s">
        <v>434</v>
      </c>
      <c r="J4" s="460"/>
      <c r="K4" s="460"/>
      <c r="L4" s="460"/>
      <c r="M4" s="460"/>
      <c r="N4" s="460"/>
      <c r="O4" s="461"/>
      <c r="P4" s="461"/>
      <c r="Q4" s="461"/>
      <c r="R4" s="461"/>
      <c r="S4" s="461"/>
      <c r="T4" s="461"/>
      <c r="U4" s="461"/>
      <c r="V4" s="461"/>
      <c r="W4" s="461"/>
      <c r="X4" s="461"/>
    </row>
    <row r="5" spans="2:24" ht="3.75" customHeight="1">
      <c r="B5" s="462"/>
      <c r="C5" s="463"/>
      <c r="D5" s="463"/>
      <c r="E5" s="463"/>
      <c r="F5" s="463"/>
      <c r="G5" s="463"/>
      <c r="H5" s="463"/>
      <c r="I5" s="464"/>
      <c r="J5" s="463"/>
      <c r="K5" s="463"/>
      <c r="L5" s="463"/>
      <c r="M5" s="463"/>
      <c r="N5" s="465"/>
      <c r="O5" s="466"/>
      <c r="P5" s="466"/>
      <c r="Q5" s="466"/>
      <c r="R5" s="466"/>
      <c r="S5" s="466"/>
      <c r="T5" s="466"/>
      <c r="U5" s="466"/>
      <c r="V5" s="466"/>
      <c r="W5" s="466"/>
      <c r="X5" s="466"/>
    </row>
    <row r="6" spans="2:24" ht="15" customHeight="1">
      <c r="B6" s="467">
        <f>CONCATENATE(DATA!C33,",")</f>
        <v>0</v>
      </c>
      <c r="C6" s="467"/>
      <c r="D6" s="467"/>
      <c r="E6" s="467"/>
      <c r="F6" s="467"/>
      <c r="G6" s="467"/>
      <c r="H6" s="467"/>
      <c r="I6" s="468">
        <f>'Annexure -II'!E4</f>
        <v>0</v>
      </c>
      <c r="J6" s="468"/>
      <c r="K6" s="468"/>
      <c r="L6" s="468"/>
      <c r="M6" s="468"/>
      <c r="N6" s="468"/>
      <c r="O6" s="469"/>
      <c r="P6" s="469"/>
      <c r="Q6" s="469"/>
      <c r="R6" s="469"/>
      <c r="S6" s="469"/>
      <c r="T6" s="469"/>
      <c r="U6" s="469"/>
      <c r="V6" s="469"/>
      <c r="W6" s="469"/>
      <c r="X6" s="469"/>
    </row>
    <row r="7" spans="2:24" ht="15" customHeight="1">
      <c r="B7" s="467">
        <f>CONCATENATE(DATA!C34,",")</f>
        <v>0</v>
      </c>
      <c r="C7" s="467"/>
      <c r="D7" s="467"/>
      <c r="E7" s="467"/>
      <c r="F7" s="467"/>
      <c r="G7" s="467"/>
      <c r="H7" s="467"/>
      <c r="I7" s="468">
        <f>'Annexure -II'!E5</f>
        <v>0</v>
      </c>
      <c r="J7" s="468"/>
      <c r="K7" s="468"/>
      <c r="L7" s="468"/>
      <c r="M7" s="468"/>
      <c r="N7" s="468"/>
      <c r="O7" s="469"/>
      <c r="P7" s="469"/>
      <c r="Q7" s="469"/>
      <c r="R7" s="469"/>
      <c r="S7" s="469"/>
      <c r="T7" s="469"/>
      <c r="U7" s="469"/>
      <c r="V7" s="469"/>
      <c r="W7" s="469"/>
      <c r="X7" s="469"/>
    </row>
    <row r="8" spans="2:24" ht="15" customHeight="1">
      <c r="B8" s="470">
        <f>CONCATENATE("O/o ",DATA!I35,",")</f>
        <v>0</v>
      </c>
      <c r="C8" s="470"/>
      <c r="D8" s="470"/>
      <c r="E8" s="470"/>
      <c r="F8" s="470"/>
      <c r="G8" s="470"/>
      <c r="H8" s="470"/>
      <c r="I8" s="468">
        <f>'Annexure -II'!J4</f>
        <v>0</v>
      </c>
      <c r="J8" s="468"/>
      <c r="K8" s="468"/>
      <c r="L8" s="468"/>
      <c r="M8" s="468"/>
      <c r="N8" s="468"/>
      <c r="O8" s="469"/>
      <c r="P8" s="469"/>
      <c r="Q8" s="469"/>
      <c r="R8" s="469"/>
      <c r="S8" s="469"/>
      <c r="T8" s="469"/>
      <c r="U8" s="469"/>
      <c r="V8" s="469"/>
      <c r="W8" s="469"/>
      <c r="X8" s="469"/>
    </row>
    <row r="9" spans="2:24" ht="15" customHeight="1">
      <c r="B9" s="467">
        <f>CONCATENATE("Mandal: ",DATA!L5)</f>
        <v>0</v>
      </c>
      <c r="C9" s="467"/>
      <c r="D9" s="467"/>
      <c r="E9" s="467"/>
      <c r="F9" s="467"/>
      <c r="G9" s="467"/>
      <c r="H9" s="467"/>
      <c r="I9" s="468">
        <f>'Annexure -II'!J5</f>
        <v>0</v>
      </c>
      <c r="J9" s="468"/>
      <c r="K9" s="468"/>
      <c r="L9" s="468"/>
      <c r="M9" s="468"/>
      <c r="N9" s="468"/>
      <c r="O9" s="469"/>
      <c r="P9" s="469"/>
      <c r="Q9" s="469"/>
      <c r="R9" s="469"/>
      <c r="S9" s="469"/>
      <c r="T9" s="469"/>
      <c r="U9" s="469"/>
      <c r="V9" s="469"/>
      <c r="W9" s="469"/>
      <c r="X9" s="469"/>
    </row>
    <row r="10" spans="2:24" ht="3.75" customHeight="1">
      <c r="B10" s="471"/>
      <c r="C10" s="471"/>
      <c r="D10" s="471"/>
      <c r="E10" s="471"/>
      <c r="F10" s="471"/>
      <c r="G10" s="471"/>
      <c r="H10" s="471"/>
      <c r="I10" s="472"/>
      <c r="J10" s="472"/>
      <c r="K10" s="472"/>
      <c r="L10" s="472"/>
      <c r="M10" s="472"/>
      <c r="N10" s="472"/>
      <c r="O10" s="469"/>
      <c r="P10" s="469"/>
      <c r="Q10" s="469"/>
      <c r="R10" s="469"/>
      <c r="S10" s="469"/>
      <c r="T10" s="469"/>
      <c r="U10" s="469"/>
      <c r="V10" s="469"/>
      <c r="W10" s="469"/>
      <c r="X10" s="469"/>
    </row>
    <row r="11" spans="2:24" ht="13.5" customHeight="1">
      <c r="B11" s="473" t="s">
        <v>435</v>
      </c>
      <c r="C11" s="473"/>
      <c r="D11" s="473"/>
      <c r="E11" s="474">
        <f>DATA!C35</f>
        <v>0</v>
      </c>
      <c r="F11" s="474"/>
      <c r="G11" s="474"/>
      <c r="H11" s="475"/>
      <c r="I11" s="476" t="s">
        <v>436</v>
      </c>
      <c r="J11" s="476"/>
      <c r="K11" s="476"/>
      <c r="L11" s="477">
        <f>DATA!L17</f>
        <v>0</v>
      </c>
      <c r="M11" s="477"/>
      <c r="N11" s="477"/>
      <c r="O11" s="461"/>
      <c r="P11" s="461"/>
      <c r="Q11" s="461"/>
      <c r="R11" s="461"/>
      <c r="S11" s="461"/>
      <c r="T11" s="461"/>
      <c r="U11" s="461"/>
      <c r="V11" s="461"/>
      <c r="W11" s="461"/>
      <c r="X11" s="461"/>
    </row>
    <row r="12" spans="2:24" ht="26.25" customHeight="1">
      <c r="B12" s="478" t="s">
        <v>437</v>
      </c>
      <c r="C12" s="478"/>
      <c r="D12" s="478"/>
      <c r="E12" s="478"/>
      <c r="F12" s="478"/>
      <c r="G12" s="478"/>
      <c r="H12" s="478"/>
      <c r="I12" s="478"/>
      <c r="J12" s="478"/>
      <c r="K12" s="478"/>
      <c r="L12" s="478"/>
      <c r="M12" s="478"/>
      <c r="N12" s="478"/>
      <c r="O12" s="479"/>
      <c r="P12" s="479"/>
      <c r="Q12" s="479"/>
      <c r="R12" s="479"/>
      <c r="S12" s="479"/>
      <c r="T12" s="479"/>
      <c r="U12" s="479"/>
      <c r="V12" s="479"/>
      <c r="W12" s="479"/>
      <c r="X12" s="479"/>
    </row>
    <row r="13" spans="2:24" ht="14.25" customHeight="1">
      <c r="B13" s="480" t="s">
        <v>438</v>
      </c>
      <c r="C13" s="480"/>
      <c r="D13" s="480"/>
      <c r="E13" s="481" t="s">
        <v>439</v>
      </c>
      <c r="F13" s="481"/>
      <c r="G13" s="481"/>
      <c r="H13" s="481"/>
      <c r="I13" s="482" t="s">
        <v>440</v>
      </c>
      <c r="J13" s="482"/>
      <c r="K13" s="482"/>
      <c r="L13" s="482"/>
      <c r="M13" s="483" t="s">
        <v>441</v>
      </c>
      <c r="N13" s="483"/>
      <c r="O13" s="461"/>
      <c r="P13" s="461"/>
      <c r="Q13" s="461"/>
      <c r="R13" s="461"/>
      <c r="S13" s="461"/>
      <c r="T13" s="461"/>
      <c r="U13" s="461"/>
      <c r="V13" s="461"/>
      <c r="W13" s="461"/>
      <c r="X13" s="461"/>
    </row>
    <row r="14" spans="2:24" ht="11.25" customHeight="1">
      <c r="B14" s="480">
        <v>1</v>
      </c>
      <c r="C14" s="480"/>
      <c r="D14" s="480"/>
      <c r="E14" s="481"/>
      <c r="F14" s="481"/>
      <c r="G14" s="481"/>
      <c r="H14" s="481"/>
      <c r="I14" s="481" t="s">
        <v>442</v>
      </c>
      <c r="J14" s="481"/>
      <c r="K14" s="482" t="s">
        <v>443</v>
      </c>
      <c r="L14" s="482"/>
      <c r="M14" s="484" t="s">
        <v>444</v>
      </c>
      <c r="N14" s="484"/>
      <c r="O14" s="461"/>
      <c r="P14" s="461"/>
      <c r="Q14" s="461"/>
      <c r="R14" s="461"/>
      <c r="S14" s="461"/>
      <c r="T14" s="461"/>
      <c r="U14" s="461"/>
      <c r="V14" s="461"/>
      <c r="W14" s="461"/>
      <c r="X14" s="461"/>
    </row>
    <row r="15" spans="2:24" ht="10.5" customHeight="1">
      <c r="B15" s="485">
        <v>2</v>
      </c>
      <c r="C15" s="485"/>
      <c r="D15" s="485"/>
      <c r="E15" s="486"/>
      <c r="F15" s="486"/>
      <c r="G15" s="486"/>
      <c r="H15" s="486"/>
      <c r="I15" s="487" t="s">
        <v>221</v>
      </c>
      <c r="J15" s="487"/>
      <c r="K15" s="488" t="s">
        <v>445</v>
      </c>
      <c r="L15" s="488"/>
      <c r="M15" s="489" t="s">
        <v>446</v>
      </c>
      <c r="N15" s="489"/>
      <c r="O15" s="490"/>
      <c r="P15" s="490"/>
      <c r="Q15" s="490"/>
      <c r="R15" s="490"/>
      <c r="S15" s="490"/>
      <c r="T15" s="490"/>
      <c r="U15" s="490"/>
      <c r="V15" s="490"/>
      <c r="W15" s="490"/>
      <c r="X15" s="490"/>
    </row>
    <row r="16" spans="2:24" ht="10.5" customHeight="1">
      <c r="B16" s="485">
        <v>3</v>
      </c>
      <c r="C16" s="485"/>
      <c r="D16" s="485"/>
      <c r="E16" s="486"/>
      <c r="F16" s="486"/>
      <c r="G16" s="486"/>
      <c r="H16" s="486"/>
      <c r="I16" s="487"/>
      <c r="J16" s="487"/>
      <c r="K16" s="488"/>
      <c r="L16" s="488"/>
      <c r="M16" s="489"/>
      <c r="N16" s="489"/>
      <c r="O16" s="490"/>
      <c r="P16" s="490"/>
      <c r="Q16" s="490"/>
      <c r="R16" s="490"/>
      <c r="S16" s="490"/>
      <c r="T16" s="490"/>
      <c r="U16" s="490"/>
      <c r="V16" s="490"/>
      <c r="W16" s="490"/>
      <c r="X16" s="490"/>
    </row>
    <row r="17" spans="2:24" ht="10.5" customHeight="1">
      <c r="B17" s="485">
        <v>4</v>
      </c>
      <c r="C17" s="485"/>
      <c r="D17" s="485"/>
      <c r="E17" s="486"/>
      <c r="F17" s="486"/>
      <c r="G17" s="486"/>
      <c r="H17" s="486"/>
      <c r="I17" s="487"/>
      <c r="J17" s="487"/>
      <c r="K17" s="488"/>
      <c r="L17" s="488"/>
      <c r="M17" s="489"/>
      <c r="N17" s="489"/>
      <c r="O17" s="490"/>
      <c r="P17" s="490"/>
      <c r="Q17" s="490"/>
      <c r="R17" s="490"/>
      <c r="S17" s="490"/>
      <c r="T17" s="490"/>
      <c r="U17" s="490"/>
      <c r="V17" s="490"/>
      <c r="W17" s="490"/>
      <c r="X17" s="490"/>
    </row>
    <row r="18" spans="2:26" ht="15" customHeight="1">
      <c r="B18" s="491" t="s">
        <v>447</v>
      </c>
      <c r="C18" s="491"/>
      <c r="D18" s="491"/>
      <c r="E18" s="491"/>
      <c r="F18" s="491"/>
      <c r="G18" s="491"/>
      <c r="H18" s="491"/>
      <c r="I18" s="491"/>
      <c r="J18" s="491"/>
      <c r="K18" s="491"/>
      <c r="L18" s="491"/>
      <c r="M18" s="491"/>
      <c r="N18" s="491"/>
      <c r="O18" s="492"/>
      <c r="P18" s="492"/>
      <c r="Q18" s="492"/>
      <c r="R18" s="492"/>
      <c r="S18" s="492"/>
      <c r="T18" s="492"/>
      <c r="U18" s="492"/>
      <c r="V18" s="492"/>
      <c r="W18" s="492"/>
      <c r="X18" s="492"/>
      <c r="Y18" s="493"/>
      <c r="Z18" s="493"/>
    </row>
    <row r="19" spans="2:24" ht="3.75" customHeight="1">
      <c r="B19" s="494"/>
      <c r="C19" s="494"/>
      <c r="D19" s="494"/>
      <c r="E19" s="494"/>
      <c r="F19" s="494"/>
      <c r="G19" s="494"/>
      <c r="H19" s="494"/>
      <c r="I19" s="494"/>
      <c r="J19" s="494"/>
      <c r="K19" s="494"/>
      <c r="L19" s="494"/>
      <c r="M19" s="494"/>
      <c r="N19" s="494"/>
      <c r="O19" s="495"/>
      <c r="P19" s="495"/>
      <c r="Q19" s="495"/>
      <c r="R19" s="495"/>
      <c r="S19" s="495"/>
      <c r="T19" s="495"/>
      <c r="U19" s="495"/>
      <c r="V19" s="495"/>
      <c r="W19" s="495"/>
      <c r="X19" s="495"/>
    </row>
    <row r="20" spans="2:24" ht="12.75" customHeight="1">
      <c r="B20" s="496">
        <v>1</v>
      </c>
      <c r="C20" s="497" t="s">
        <v>448</v>
      </c>
      <c r="D20" s="497"/>
      <c r="E20" s="498"/>
      <c r="F20" s="498"/>
      <c r="G20" s="498"/>
      <c r="H20" s="498"/>
      <c r="I20" s="499" t="s">
        <v>200</v>
      </c>
      <c r="J20" s="500">
        <f>'Annexure -II'!M7</f>
        <v>939972</v>
      </c>
      <c r="K20" s="501"/>
      <c r="L20" s="502"/>
      <c r="M20" s="501"/>
      <c r="N20" s="503"/>
      <c r="O20" s="504"/>
      <c r="P20" s="504"/>
      <c r="Q20" s="504"/>
      <c r="R20" s="504"/>
      <c r="S20" s="504"/>
      <c r="T20" s="504"/>
      <c r="U20" s="504"/>
      <c r="V20" s="504"/>
      <c r="W20" s="504"/>
      <c r="X20" s="504"/>
    </row>
    <row r="21" spans="2:24" ht="15" customHeight="1">
      <c r="B21" s="496"/>
      <c r="C21" s="505" t="s">
        <v>374</v>
      </c>
      <c r="D21" s="506" t="s">
        <v>449</v>
      </c>
      <c r="E21" s="506"/>
      <c r="F21" s="506"/>
      <c r="G21" s="506"/>
      <c r="H21" s="506"/>
      <c r="I21" s="507" t="s">
        <v>200</v>
      </c>
      <c r="J21" s="508">
        <v>0</v>
      </c>
      <c r="K21" s="501"/>
      <c r="L21" s="502"/>
      <c r="M21" s="501"/>
      <c r="N21" s="503"/>
      <c r="O21" s="504"/>
      <c r="P21" s="504"/>
      <c r="Q21" s="504"/>
      <c r="R21" s="504"/>
      <c r="S21" s="504"/>
      <c r="T21" s="504"/>
      <c r="U21" s="504"/>
      <c r="V21" s="504"/>
      <c r="W21" s="504"/>
      <c r="X21" s="504"/>
    </row>
    <row r="22" spans="2:24" ht="15" customHeight="1">
      <c r="B22" s="496"/>
      <c r="C22" s="505" t="s">
        <v>376</v>
      </c>
      <c r="D22" s="506" t="s">
        <v>450</v>
      </c>
      <c r="E22" s="506"/>
      <c r="F22" s="506"/>
      <c r="G22" s="506"/>
      <c r="H22" s="506"/>
      <c r="I22" s="507" t="s">
        <v>200</v>
      </c>
      <c r="J22" s="508">
        <v>0</v>
      </c>
      <c r="K22" s="501"/>
      <c r="L22" s="502"/>
      <c r="M22" s="501"/>
      <c r="N22" s="503"/>
      <c r="O22" s="504"/>
      <c r="P22" s="504"/>
      <c r="Q22" s="504"/>
      <c r="R22" s="504"/>
      <c r="S22" s="504"/>
      <c r="T22" s="504"/>
      <c r="U22" s="504"/>
      <c r="V22" s="504"/>
      <c r="W22" s="504"/>
      <c r="X22" s="504"/>
    </row>
    <row r="23" spans="2:24" ht="15" customHeight="1">
      <c r="B23" s="496"/>
      <c r="C23" s="505"/>
      <c r="D23" s="506" t="s">
        <v>451</v>
      </c>
      <c r="E23" s="506"/>
      <c r="F23" s="506"/>
      <c r="G23" s="506"/>
      <c r="H23" s="506"/>
      <c r="I23" s="509"/>
      <c r="J23" s="510"/>
      <c r="K23" s="501"/>
      <c r="L23" s="502"/>
      <c r="M23" s="501"/>
      <c r="N23" s="503"/>
      <c r="O23" s="504"/>
      <c r="P23" s="504"/>
      <c r="Q23" s="504"/>
      <c r="R23" s="504"/>
      <c r="S23" s="504"/>
      <c r="T23" s="504"/>
      <c r="U23" s="504"/>
      <c r="V23" s="504"/>
      <c r="W23" s="504"/>
      <c r="X23" s="504"/>
    </row>
    <row r="24" spans="2:30" ht="15" customHeight="1">
      <c r="B24" s="496"/>
      <c r="C24" s="505" t="s">
        <v>377</v>
      </c>
      <c r="D24" s="506" t="s">
        <v>452</v>
      </c>
      <c r="E24" s="506"/>
      <c r="F24" s="506"/>
      <c r="G24" s="506"/>
      <c r="H24" s="506"/>
      <c r="I24" s="499" t="s">
        <v>200</v>
      </c>
      <c r="J24" s="500">
        <v>0</v>
      </c>
      <c r="K24" s="501"/>
      <c r="L24" s="502"/>
      <c r="M24" s="501"/>
      <c r="N24" s="503"/>
      <c r="O24" s="504"/>
      <c r="P24" s="504"/>
      <c r="Q24" s="504"/>
      <c r="R24" s="504"/>
      <c r="S24" s="504"/>
      <c r="T24" s="504"/>
      <c r="U24" s="504"/>
      <c r="V24" s="504"/>
      <c r="W24" s="504"/>
      <c r="X24" s="504"/>
      <c r="AC24" s="511" t="s">
        <v>453</v>
      </c>
      <c r="AD24" s="512">
        <v>100000</v>
      </c>
    </row>
    <row r="25" spans="2:30" ht="15" customHeight="1">
      <c r="B25" s="496"/>
      <c r="C25" s="505"/>
      <c r="D25" s="506" t="s">
        <v>454</v>
      </c>
      <c r="E25" s="506"/>
      <c r="F25" s="506"/>
      <c r="G25" s="506"/>
      <c r="H25" s="506"/>
      <c r="I25" s="513"/>
      <c r="J25" s="514"/>
      <c r="K25" s="501"/>
      <c r="L25" s="502"/>
      <c r="M25" s="501"/>
      <c r="N25" s="503"/>
      <c r="O25" s="504"/>
      <c r="P25" s="504"/>
      <c r="Q25" s="504"/>
      <c r="R25" s="504"/>
      <c r="S25" s="504"/>
      <c r="T25" s="504"/>
      <c r="U25" s="504"/>
      <c r="V25" s="504"/>
      <c r="W25" s="504"/>
      <c r="X25" s="504"/>
      <c r="AC25" s="511" t="s">
        <v>16</v>
      </c>
      <c r="AD25" s="512">
        <v>100000</v>
      </c>
    </row>
    <row r="26" spans="2:30" ht="15" customHeight="1">
      <c r="B26" s="496"/>
      <c r="C26" s="505" t="s">
        <v>388</v>
      </c>
      <c r="D26" s="515" t="s">
        <v>327</v>
      </c>
      <c r="E26" s="498"/>
      <c r="F26" s="498"/>
      <c r="G26" s="498"/>
      <c r="H26" s="498"/>
      <c r="I26" s="516" t="s">
        <v>200</v>
      </c>
      <c r="J26" s="517">
        <f>J20+J21+J22+J24</f>
        <v>939972</v>
      </c>
      <c r="K26" s="501"/>
      <c r="L26" s="502"/>
      <c r="M26" s="501" t="s">
        <v>200</v>
      </c>
      <c r="N26" s="518">
        <f>J26</f>
        <v>939972</v>
      </c>
      <c r="O26" s="519"/>
      <c r="P26" s="519"/>
      <c r="Q26" s="519"/>
      <c r="R26" s="519"/>
      <c r="S26" s="519"/>
      <c r="T26" s="519"/>
      <c r="U26" s="519"/>
      <c r="V26" s="519"/>
      <c r="W26" s="519"/>
      <c r="X26" s="519"/>
      <c r="AC26" s="511" t="s">
        <v>455</v>
      </c>
      <c r="AD26" s="512">
        <v>100000</v>
      </c>
    </row>
    <row r="27" spans="2:30" ht="15" customHeight="1">
      <c r="B27" s="496">
        <v>2</v>
      </c>
      <c r="C27" s="505" t="s">
        <v>456</v>
      </c>
      <c r="D27" s="505"/>
      <c r="E27" s="505"/>
      <c r="F27" s="505"/>
      <c r="G27" s="505"/>
      <c r="H27" s="505"/>
      <c r="I27" s="516"/>
      <c r="J27" s="520"/>
      <c r="K27" s="521"/>
      <c r="L27" s="502"/>
      <c r="M27" s="501"/>
      <c r="N27" s="503"/>
      <c r="O27" s="504"/>
      <c r="P27" s="504"/>
      <c r="Q27" s="504"/>
      <c r="R27" s="504"/>
      <c r="S27" s="504"/>
      <c r="T27" s="504"/>
      <c r="U27" s="504"/>
      <c r="V27" s="504"/>
      <c r="W27" s="504"/>
      <c r="X27" s="504"/>
      <c r="AC27" s="522" t="s">
        <v>457</v>
      </c>
      <c r="AD27" s="512">
        <v>100000</v>
      </c>
    </row>
    <row r="28" spans="2:30" ht="15" customHeight="1">
      <c r="B28" s="496"/>
      <c r="C28" s="505" t="s">
        <v>374</v>
      </c>
      <c r="D28" s="506" t="s">
        <v>458</v>
      </c>
      <c r="E28" s="506"/>
      <c r="F28" s="378"/>
      <c r="G28" s="378"/>
      <c r="H28" s="523"/>
      <c r="I28" s="524" t="s">
        <v>200</v>
      </c>
      <c r="J28" s="525">
        <f>'Annexure -II'!M11</f>
        <v>21956</v>
      </c>
      <c r="K28" s="521"/>
      <c r="L28" s="502"/>
      <c r="M28" s="501"/>
      <c r="N28" s="503"/>
      <c r="O28" s="504"/>
      <c r="P28" s="504"/>
      <c r="Q28" s="504"/>
      <c r="R28" s="504"/>
      <c r="S28" s="504"/>
      <c r="T28" s="504"/>
      <c r="U28" s="504"/>
      <c r="V28" s="504"/>
      <c r="W28" s="504"/>
      <c r="X28" s="504"/>
      <c r="AC28" s="511" t="s">
        <v>27</v>
      </c>
      <c r="AD28" s="512">
        <v>100000</v>
      </c>
    </row>
    <row r="29" spans="2:30" ht="15" customHeight="1">
      <c r="B29" s="496"/>
      <c r="C29" s="505" t="s">
        <v>376</v>
      </c>
      <c r="D29" s="506" t="s">
        <v>459</v>
      </c>
      <c r="E29" s="506"/>
      <c r="F29" s="506"/>
      <c r="G29" s="378"/>
      <c r="H29" s="523"/>
      <c r="I29" s="524" t="s">
        <v>200</v>
      </c>
      <c r="J29" s="525">
        <f>'Annexure -II'!L14</f>
        <v>0</v>
      </c>
      <c r="K29" s="521"/>
      <c r="L29" s="502"/>
      <c r="M29" s="526" t="s">
        <v>200</v>
      </c>
      <c r="N29" s="527">
        <f>J28+J29</f>
        <v>21956</v>
      </c>
      <c r="O29" s="504"/>
      <c r="P29" s="504"/>
      <c r="Q29" s="504"/>
      <c r="R29" s="504"/>
      <c r="S29" s="504"/>
      <c r="T29" s="504"/>
      <c r="U29" s="504"/>
      <c r="V29" s="504"/>
      <c r="W29" s="504"/>
      <c r="X29" s="504"/>
      <c r="AC29" s="511" t="s">
        <v>31</v>
      </c>
      <c r="AD29" s="512">
        <v>100000</v>
      </c>
    </row>
    <row r="30" spans="2:30" ht="15" customHeight="1">
      <c r="B30" s="496">
        <v>3</v>
      </c>
      <c r="C30" s="528" t="s">
        <v>460</v>
      </c>
      <c r="D30" s="528"/>
      <c r="E30" s="528"/>
      <c r="F30" s="528"/>
      <c r="G30" s="528"/>
      <c r="H30" s="528"/>
      <c r="I30" s="498"/>
      <c r="J30" s="520"/>
      <c r="K30" s="521"/>
      <c r="L30" s="502"/>
      <c r="M30" s="501" t="s">
        <v>200</v>
      </c>
      <c r="N30" s="518">
        <f>N26-N29</f>
        <v>918016</v>
      </c>
      <c r="O30" s="519"/>
      <c r="P30" s="519"/>
      <c r="Q30" s="519"/>
      <c r="R30" s="519"/>
      <c r="S30" s="519"/>
      <c r="T30" s="519"/>
      <c r="U30" s="519"/>
      <c r="V30" s="519"/>
      <c r="W30" s="519"/>
      <c r="X30" s="519"/>
      <c r="AC30" s="511" t="s">
        <v>35</v>
      </c>
      <c r="AD30" s="512">
        <v>100000</v>
      </c>
    </row>
    <row r="31" spans="2:30" ht="15" customHeight="1">
      <c r="B31" s="496">
        <v>4</v>
      </c>
      <c r="C31" s="528" t="s">
        <v>198</v>
      </c>
      <c r="D31" s="528"/>
      <c r="E31" s="528"/>
      <c r="F31" s="528"/>
      <c r="G31" s="528"/>
      <c r="H31" s="528"/>
      <c r="I31" s="498"/>
      <c r="J31" s="520"/>
      <c r="K31" s="521"/>
      <c r="L31" s="502"/>
      <c r="M31" s="501"/>
      <c r="N31" s="503"/>
      <c r="O31" s="504"/>
      <c r="P31" s="504"/>
      <c r="Q31" s="504"/>
      <c r="R31" s="504"/>
      <c r="S31" s="504"/>
      <c r="T31" s="504"/>
      <c r="U31" s="504"/>
      <c r="V31" s="504"/>
      <c r="W31" s="504"/>
      <c r="X31" s="504"/>
      <c r="AC31" s="511" t="s">
        <v>37</v>
      </c>
      <c r="AD31" s="512">
        <v>100000</v>
      </c>
    </row>
    <row r="32" spans="2:30" ht="12.75" customHeight="1">
      <c r="B32" s="496"/>
      <c r="C32" s="505" t="s">
        <v>374</v>
      </c>
      <c r="D32" s="506" t="s">
        <v>461</v>
      </c>
      <c r="E32" s="506"/>
      <c r="F32" s="378"/>
      <c r="G32" s="378"/>
      <c r="H32" s="529"/>
      <c r="I32" s="524" t="s">
        <v>200</v>
      </c>
      <c r="J32" s="525">
        <v>0</v>
      </c>
      <c r="K32" s="521"/>
      <c r="L32" s="502"/>
      <c r="M32" s="501"/>
      <c r="N32" s="503"/>
      <c r="O32" s="504"/>
      <c r="P32" s="504"/>
      <c r="Q32" s="504"/>
      <c r="R32" s="504"/>
      <c r="S32" s="504"/>
      <c r="T32" s="504"/>
      <c r="U32" s="504"/>
      <c r="V32" s="504"/>
      <c r="W32" s="504"/>
      <c r="X32" s="504"/>
      <c r="AC32" s="511" t="s">
        <v>40</v>
      </c>
      <c r="AD32" s="512">
        <v>100000</v>
      </c>
    </row>
    <row r="33" spans="2:30" ht="12.75" customHeight="1">
      <c r="B33" s="496"/>
      <c r="C33" s="505" t="s">
        <v>376</v>
      </c>
      <c r="D33" s="506" t="s">
        <v>462</v>
      </c>
      <c r="E33" s="506"/>
      <c r="F33" s="498"/>
      <c r="G33" s="378"/>
      <c r="H33" s="529"/>
      <c r="I33" s="524" t="s">
        <v>200</v>
      </c>
      <c r="J33" s="525">
        <f>'Annexure -II'!L15</f>
        <v>2400</v>
      </c>
      <c r="K33" s="521"/>
      <c r="L33" s="502"/>
      <c r="M33" s="501"/>
      <c r="N33" s="503"/>
      <c r="O33" s="504"/>
      <c r="P33" s="504"/>
      <c r="Q33" s="504"/>
      <c r="R33" s="504"/>
      <c r="S33" s="504"/>
      <c r="T33" s="504"/>
      <c r="U33" s="504"/>
      <c r="V33" s="504"/>
      <c r="W33" s="504"/>
      <c r="X33" s="504"/>
      <c r="AC33" s="511" t="s">
        <v>463</v>
      </c>
      <c r="AD33" s="512">
        <v>100000</v>
      </c>
    </row>
    <row r="34" spans="2:30" ht="15" customHeight="1">
      <c r="B34" s="496">
        <v>5</v>
      </c>
      <c r="C34" s="497" t="s">
        <v>464</v>
      </c>
      <c r="D34" s="497"/>
      <c r="E34" s="497"/>
      <c r="F34" s="497"/>
      <c r="G34" s="497"/>
      <c r="H34" s="497"/>
      <c r="I34" s="516"/>
      <c r="J34" s="517"/>
      <c r="K34" s="501"/>
      <c r="L34" s="502"/>
      <c r="M34" s="526" t="s">
        <v>200</v>
      </c>
      <c r="N34" s="527">
        <f>J32+J33</f>
        <v>2400</v>
      </c>
      <c r="O34" s="504"/>
      <c r="P34" s="504"/>
      <c r="Q34" s="504"/>
      <c r="R34" s="504"/>
      <c r="S34" s="504"/>
      <c r="T34" s="504"/>
      <c r="U34" s="504"/>
      <c r="V34" s="504"/>
      <c r="W34" s="504"/>
      <c r="X34" s="504"/>
      <c r="AC34" s="511" t="s">
        <v>43</v>
      </c>
      <c r="AD34" s="512">
        <v>100000</v>
      </c>
    </row>
    <row r="35" spans="2:30" ht="15" customHeight="1">
      <c r="B35" s="496">
        <v>6</v>
      </c>
      <c r="C35" s="505" t="s">
        <v>465</v>
      </c>
      <c r="D35" s="505"/>
      <c r="E35" s="505"/>
      <c r="F35" s="505"/>
      <c r="G35" s="505"/>
      <c r="H35" s="505"/>
      <c r="I35" s="516"/>
      <c r="J35" s="517"/>
      <c r="K35" s="501"/>
      <c r="L35" s="502"/>
      <c r="M35" s="530" t="s">
        <v>200</v>
      </c>
      <c r="N35" s="531">
        <f>N30-N34</f>
        <v>915616</v>
      </c>
      <c r="O35" s="519"/>
      <c r="P35" s="519"/>
      <c r="Q35" s="519"/>
      <c r="R35" s="519"/>
      <c r="S35" s="519"/>
      <c r="T35" s="519"/>
      <c r="U35" s="519"/>
      <c r="V35" s="519"/>
      <c r="W35" s="519"/>
      <c r="X35" s="519"/>
      <c r="AC35" s="511" t="s">
        <v>50</v>
      </c>
      <c r="AD35" s="512">
        <v>10000</v>
      </c>
    </row>
    <row r="36" spans="2:24" ht="12.75" customHeight="1">
      <c r="B36" s="496">
        <v>7</v>
      </c>
      <c r="C36" s="505" t="s">
        <v>466</v>
      </c>
      <c r="D36" s="505"/>
      <c r="E36" s="505"/>
      <c r="F36" s="505"/>
      <c r="G36" s="505"/>
      <c r="H36" s="505"/>
      <c r="I36" s="516"/>
      <c r="J36" s="517"/>
      <c r="K36" s="501"/>
      <c r="L36" s="502"/>
      <c r="M36" s="532" t="s">
        <v>200</v>
      </c>
      <c r="N36" s="533">
        <v>0</v>
      </c>
      <c r="O36" s="504"/>
      <c r="P36" s="504"/>
      <c r="Q36" s="504"/>
      <c r="R36" s="504"/>
      <c r="S36" s="504"/>
      <c r="T36" s="504"/>
      <c r="U36" s="504"/>
      <c r="V36" s="504"/>
      <c r="W36" s="504"/>
      <c r="X36" s="504"/>
    </row>
    <row r="37" spans="2:24" ht="12.75" customHeight="1">
      <c r="B37" s="496"/>
      <c r="C37" s="505" t="s">
        <v>467</v>
      </c>
      <c r="D37" s="505"/>
      <c r="E37" s="505"/>
      <c r="F37" s="505"/>
      <c r="G37" s="505"/>
      <c r="H37" s="505"/>
      <c r="I37" s="516"/>
      <c r="J37" s="517"/>
      <c r="K37" s="501"/>
      <c r="L37" s="502"/>
      <c r="M37" s="532" t="s">
        <v>200</v>
      </c>
      <c r="N37" s="533">
        <v>0</v>
      </c>
      <c r="O37" s="504"/>
      <c r="P37" s="504"/>
      <c r="Q37" s="504"/>
      <c r="R37" s="504"/>
      <c r="S37" s="504"/>
      <c r="T37" s="504"/>
      <c r="U37" s="504"/>
      <c r="V37" s="504"/>
      <c r="W37" s="504"/>
      <c r="X37" s="504"/>
    </row>
    <row r="38" spans="2:24" ht="12.75" customHeight="1">
      <c r="B38" s="496"/>
      <c r="C38" s="505" t="s">
        <v>468</v>
      </c>
      <c r="D38" s="505"/>
      <c r="E38" s="505"/>
      <c r="F38" s="505"/>
      <c r="G38" s="505"/>
      <c r="H38" s="505"/>
      <c r="I38" s="516"/>
      <c r="J38" s="517"/>
      <c r="K38" s="501"/>
      <c r="L38" s="502"/>
      <c r="M38" s="534" t="s">
        <v>200</v>
      </c>
      <c r="N38" s="535">
        <v>0</v>
      </c>
      <c r="O38" s="504"/>
      <c r="P38" s="504"/>
      <c r="Q38" s="504"/>
      <c r="R38" s="504"/>
      <c r="S38" s="504"/>
      <c r="T38" s="504"/>
      <c r="U38" s="504"/>
      <c r="V38" s="504"/>
      <c r="W38" s="504"/>
      <c r="X38" s="504"/>
    </row>
    <row r="39" spans="2:24" ht="14.25" customHeight="1">
      <c r="B39" s="496">
        <v>8</v>
      </c>
      <c r="C39" s="497" t="s">
        <v>469</v>
      </c>
      <c r="D39" s="497"/>
      <c r="E39" s="497"/>
      <c r="F39" s="536"/>
      <c r="G39" s="536"/>
      <c r="H39" s="498"/>
      <c r="I39" s="516"/>
      <c r="J39" s="517"/>
      <c r="K39" s="501"/>
      <c r="L39" s="502"/>
      <c r="M39" s="501" t="s">
        <v>200</v>
      </c>
      <c r="N39" s="518">
        <f>N35+N36+N37-N38</f>
        <v>915616</v>
      </c>
      <c r="O39" s="519"/>
      <c r="P39" s="519"/>
      <c r="Q39" s="519"/>
      <c r="R39" s="519"/>
      <c r="S39" s="519"/>
      <c r="T39" s="519"/>
      <c r="U39" s="519"/>
      <c r="V39" s="519"/>
      <c r="W39" s="519"/>
      <c r="X39" s="519"/>
    </row>
    <row r="40" spans="2:24" ht="13.5" customHeight="1">
      <c r="B40" s="496">
        <v>9</v>
      </c>
      <c r="C40" s="497" t="s">
        <v>470</v>
      </c>
      <c r="D40" s="497"/>
      <c r="E40" s="497"/>
      <c r="F40" s="497"/>
      <c r="G40" s="497"/>
      <c r="H40" s="498"/>
      <c r="I40" s="516"/>
      <c r="J40" s="537"/>
      <c r="K40" s="501"/>
      <c r="L40" s="502"/>
      <c r="M40" s="501"/>
      <c r="N40" s="503"/>
      <c r="O40" s="504"/>
      <c r="P40" s="504"/>
      <c r="Q40" s="504"/>
      <c r="R40" s="504"/>
      <c r="S40" s="504"/>
      <c r="T40" s="504"/>
      <c r="U40" s="504"/>
      <c r="V40" s="504"/>
      <c r="W40" s="504"/>
      <c r="X40" s="504"/>
    </row>
    <row r="41" spans="2:24" ht="13.5" customHeight="1">
      <c r="B41" s="538" t="s">
        <v>471</v>
      </c>
      <c r="C41" s="539" t="s">
        <v>472</v>
      </c>
      <c r="D41" s="539"/>
      <c r="E41" s="539"/>
      <c r="F41" s="540"/>
      <c r="G41" s="463" t="s">
        <v>473</v>
      </c>
      <c r="H41" s="506"/>
      <c r="I41" s="541" t="s">
        <v>474</v>
      </c>
      <c r="J41" s="541"/>
      <c r="K41" s="541" t="s">
        <v>475</v>
      </c>
      <c r="L41" s="541"/>
      <c r="M41" s="498"/>
      <c r="N41" s="503"/>
      <c r="O41" s="542"/>
      <c r="P41" s="542"/>
      <c r="Q41" s="542"/>
      <c r="R41" s="542"/>
      <c r="S41" s="542"/>
      <c r="T41" s="542"/>
      <c r="U41" s="542"/>
      <c r="V41" s="542"/>
      <c r="W41" s="542"/>
      <c r="X41" s="542"/>
    </row>
    <row r="42" spans="2:24" ht="12.75" customHeight="1">
      <c r="B42" s="496"/>
      <c r="C42" s="497" t="s">
        <v>374</v>
      </c>
      <c r="D42" s="540" t="s">
        <v>476</v>
      </c>
      <c r="E42" s="543"/>
      <c r="F42" s="543"/>
      <c r="G42" s="463" t="s">
        <v>197</v>
      </c>
      <c r="H42" s="506"/>
      <c r="I42" s="505"/>
      <c r="J42" s="523" t="s">
        <v>197</v>
      </c>
      <c r="K42" s="506"/>
      <c r="L42" s="523" t="s">
        <v>197</v>
      </c>
      <c r="M42" s="498"/>
      <c r="N42" s="503"/>
      <c r="O42" s="542"/>
      <c r="P42" s="542"/>
      <c r="Q42" s="542"/>
      <c r="R42" s="542"/>
      <c r="S42" s="542"/>
      <c r="T42" s="542"/>
      <c r="U42" s="542"/>
      <c r="V42" s="542"/>
      <c r="W42" s="542"/>
      <c r="X42" s="542"/>
    </row>
    <row r="43" spans="2:26" ht="13.5" customHeight="1">
      <c r="B43" s="496"/>
      <c r="C43" s="544" t="s">
        <v>477</v>
      </c>
      <c r="D43" s="501" t="s">
        <v>478</v>
      </c>
      <c r="E43" s="501"/>
      <c r="F43" s="545" t="s">
        <v>200</v>
      </c>
      <c r="G43" s="525">
        <f>IF(DATA!AA34=3,0,'Annexure -I'!O23)</f>
        <v>0</v>
      </c>
      <c r="H43" s="545"/>
      <c r="I43" s="532" t="s">
        <v>200</v>
      </c>
      <c r="J43" s="508">
        <f aca="true" t="shared" si="0" ref="J43:J51">IF(G43&lt;=Z43,G43,IF(G43&gt;=Z43,Z43))</f>
        <v>0</v>
      </c>
      <c r="K43" s="545" t="s">
        <v>200</v>
      </c>
      <c r="L43" s="508">
        <f aca="true" t="shared" si="1" ref="L43:L51">J43</f>
        <v>0</v>
      </c>
      <c r="M43" s="501"/>
      <c r="N43" s="503"/>
      <c r="O43" s="504"/>
      <c r="P43" s="504"/>
      <c r="Q43" s="504"/>
      <c r="R43" s="504"/>
      <c r="S43" s="504"/>
      <c r="T43" s="504"/>
      <c r="U43" s="504"/>
      <c r="V43" s="504"/>
      <c r="W43" s="504"/>
      <c r="X43" s="504"/>
      <c r="Z43" s="546">
        <v>150000</v>
      </c>
    </row>
    <row r="44" spans="2:26" ht="13.5" customHeight="1">
      <c r="B44" s="496"/>
      <c r="C44" s="544" t="s">
        <v>479</v>
      </c>
      <c r="D44" s="501" t="s">
        <v>480</v>
      </c>
      <c r="E44" s="501"/>
      <c r="F44" s="545" t="s">
        <v>200</v>
      </c>
      <c r="G44" s="525">
        <f>'Annexure -II'!L37</f>
        <v>12000</v>
      </c>
      <c r="H44" s="545"/>
      <c r="I44" s="532" t="s">
        <v>200</v>
      </c>
      <c r="J44" s="508">
        <f t="shared" si="0"/>
        <v>12000</v>
      </c>
      <c r="K44" s="545" t="s">
        <v>200</v>
      </c>
      <c r="L44" s="508">
        <f t="shared" si="1"/>
        <v>12000</v>
      </c>
      <c r="M44" s="501"/>
      <c r="N44" s="503"/>
      <c r="O44" s="504"/>
      <c r="P44" s="504"/>
      <c r="Q44" s="504"/>
      <c r="R44" s="504"/>
      <c r="S44" s="504"/>
      <c r="T44" s="504"/>
      <c r="U44" s="504"/>
      <c r="V44" s="504"/>
      <c r="W44" s="504"/>
      <c r="X44" s="504"/>
      <c r="Z44" s="546">
        <v>150000</v>
      </c>
    </row>
    <row r="45" spans="2:26" ht="13.5" customHeight="1">
      <c r="B45" s="496"/>
      <c r="C45" s="544" t="s">
        <v>481</v>
      </c>
      <c r="D45" s="501" t="s">
        <v>482</v>
      </c>
      <c r="E45" s="501"/>
      <c r="F45" s="545" t="s">
        <v>200</v>
      </c>
      <c r="G45" s="525">
        <f>'Annexure -II'!L38</f>
        <v>720</v>
      </c>
      <c r="H45" s="545"/>
      <c r="I45" s="532" t="s">
        <v>200</v>
      </c>
      <c r="J45" s="508">
        <f t="shared" si="0"/>
        <v>720</v>
      </c>
      <c r="K45" s="545" t="s">
        <v>200</v>
      </c>
      <c r="L45" s="508">
        <f t="shared" si="1"/>
        <v>720</v>
      </c>
      <c r="M45" s="501"/>
      <c r="N45" s="503"/>
      <c r="O45" s="504"/>
      <c r="P45" s="504"/>
      <c r="Q45" s="504"/>
      <c r="R45" s="504"/>
      <c r="S45" s="504"/>
      <c r="T45" s="504"/>
      <c r="U45" s="504"/>
      <c r="V45" s="504"/>
      <c r="W45" s="504"/>
      <c r="X45" s="504"/>
      <c r="Z45" s="546">
        <v>150000</v>
      </c>
    </row>
    <row r="46" spans="2:26" ht="13.5" customHeight="1">
      <c r="B46" s="496"/>
      <c r="C46" s="544" t="s">
        <v>483</v>
      </c>
      <c r="D46" s="501" t="s">
        <v>484</v>
      </c>
      <c r="E46" s="501"/>
      <c r="F46" s="545" t="s">
        <v>200</v>
      </c>
      <c r="G46" s="525">
        <f>'Annexure -II'!L39</f>
        <v>0</v>
      </c>
      <c r="H46" s="545"/>
      <c r="I46" s="532" t="s">
        <v>200</v>
      </c>
      <c r="J46" s="508">
        <f t="shared" si="0"/>
        <v>0</v>
      </c>
      <c r="K46" s="545" t="s">
        <v>200</v>
      </c>
      <c r="L46" s="508">
        <f t="shared" si="1"/>
        <v>0</v>
      </c>
      <c r="M46" s="501"/>
      <c r="N46" s="503"/>
      <c r="O46" s="504"/>
      <c r="P46" s="504"/>
      <c r="Q46" s="504"/>
      <c r="R46" s="504"/>
      <c r="S46" s="504"/>
      <c r="T46" s="504"/>
      <c r="U46" s="504"/>
      <c r="V46" s="504"/>
      <c r="W46" s="504"/>
      <c r="X46" s="504"/>
      <c r="Z46" s="546">
        <v>150000</v>
      </c>
    </row>
    <row r="47" spans="2:26" ht="13.5" customHeight="1">
      <c r="B47" s="496"/>
      <c r="C47" s="544" t="s">
        <v>485</v>
      </c>
      <c r="D47" s="501">
        <f>'Annexure -II'!D40:I40</f>
        <v>0</v>
      </c>
      <c r="E47" s="501"/>
      <c r="F47" s="545" t="s">
        <v>200</v>
      </c>
      <c r="G47" s="525">
        <f>'Annexure -II'!L40</f>
        <v>70000</v>
      </c>
      <c r="H47" s="545"/>
      <c r="I47" s="532" t="s">
        <v>200</v>
      </c>
      <c r="J47" s="508">
        <f t="shared" si="0"/>
        <v>70000</v>
      </c>
      <c r="K47" s="545" t="s">
        <v>200</v>
      </c>
      <c r="L47" s="508">
        <f t="shared" si="1"/>
        <v>70000</v>
      </c>
      <c r="M47" s="501"/>
      <c r="N47" s="503"/>
      <c r="O47" s="504"/>
      <c r="P47" s="504"/>
      <c r="Q47" s="504"/>
      <c r="R47" s="504"/>
      <c r="S47" s="504"/>
      <c r="T47" s="504"/>
      <c r="U47" s="504"/>
      <c r="V47" s="504"/>
      <c r="W47" s="504"/>
      <c r="X47" s="504"/>
      <c r="Z47" s="546">
        <v>150000</v>
      </c>
    </row>
    <row r="48" spans="2:26" ht="13.5" customHeight="1">
      <c r="B48" s="496"/>
      <c r="C48" s="544" t="s">
        <v>486</v>
      </c>
      <c r="D48" s="501">
        <f>'Annexure -II'!D41:I41</f>
        <v>0</v>
      </c>
      <c r="E48" s="501"/>
      <c r="F48" s="545" t="s">
        <v>200</v>
      </c>
      <c r="G48" s="525">
        <f>'Annexure -II'!L41</f>
        <v>0</v>
      </c>
      <c r="H48" s="545"/>
      <c r="I48" s="532" t="s">
        <v>200</v>
      </c>
      <c r="J48" s="508">
        <f t="shared" si="0"/>
        <v>0</v>
      </c>
      <c r="K48" s="545" t="s">
        <v>200</v>
      </c>
      <c r="L48" s="508">
        <f t="shared" si="1"/>
        <v>0</v>
      </c>
      <c r="M48" s="501"/>
      <c r="N48" s="503"/>
      <c r="O48" s="504"/>
      <c r="P48" s="504"/>
      <c r="Q48" s="504"/>
      <c r="R48" s="504"/>
      <c r="S48" s="504"/>
      <c r="T48" s="504"/>
      <c r="U48" s="504"/>
      <c r="V48" s="504"/>
      <c r="W48" s="504"/>
      <c r="X48" s="504"/>
      <c r="Z48" s="546">
        <v>150000</v>
      </c>
    </row>
    <row r="49" spans="2:26" ht="13.5" customHeight="1">
      <c r="B49" s="496"/>
      <c r="C49" s="544" t="s">
        <v>487</v>
      </c>
      <c r="D49" s="501">
        <f>'Annexure -II'!D42:I42</f>
        <v>0</v>
      </c>
      <c r="E49" s="501"/>
      <c r="F49" s="545" t="s">
        <v>200</v>
      </c>
      <c r="G49" s="525">
        <f>'Annexure -II'!L42</f>
        <v>0</v>
      </c>
      <c r="H49" s="545"/>
      <c r="I49" s="532" t="s">
        <v>200</v>
      </c>
      <c r="J49" s="508">
        <f t="shared" si="0"/>
        <v>0</v>
      </c>
      <c r="K49" s="545" t="s">
        <v>200</v>
      </c>
      <c r="L49" s="508">
        <f t="shared" si="1"/>
        <v>0</v>
      </c>
      <c r="M49" s="501"/>
      <c r="N49" s="503"/>
      <c r="O49" s="504"/>
      <c r="P49" s="504"/>
      <c r="Q49" s="504"/>
      <c r="R49" s="504"/>
      <c r="S49" s="504"/>
      <c r="T49" s="504"/>
      <c r="U49" s="504"/>
      <c r="V49" s="504"/>
      <c r="W49" s="504"/>
      <c r="X49" s="504"/>
      <c r="Z49" s="546">
        <v>150000</v>
      </c>
    </row>
    <row r="50" spans="2:26" ht="13.5" customHeight="1">
      <c r="B50" s="496"/>
      <c r="C50" s="547" t="s">
        <v>488</v>
      </c>
      <c r="D50" s="501">
        <f>'Annexure -II'!D43:I43</f>
        <v>0</v>
      </c>
      <c r="E50" s="501"/>
      <c r="F50" s="545" t="s">
        <v>200</v>
      </c>
      <c r="G50" s="525">
        <f>'Annexure -II'!L43</f>
        <v>0</v>
      </c>
      <c r="H50" s="545"/>
      <c r="I50" s="532" t="s">
        <v>200</v>
      </c>
      <c r="J50" s="508">
        <f t="shared" si="0"/>
        <v>0</v>
      </c>
      <c r="K50" s="545" t="s">
        <v>200</v>
      </c>
      <c r="L50" s="508">
        <f t="shared" si="1"/>
        <v>0</v>
      </c>
      <c r="M50" s="521"/>
      <c r="N50" s="503"/>
      <c r="O50" s="504"/>
      <c r="P50" s="504"/>
      <c r="Q50" s="504"/>
      <c r="R50" s="504"/>
      <c r="S50" s="504"/>
      <c r="T50" s="504"/>
      <c r="U50" s="504"/>
      <c r="V50" s="504"/>
      <c r="W50" s="504"/>
      <c r="X50" s="504"/>
      <c r="Z50" s="546">
        <v>150000</v>
      </c>
    </row>
    <row r="51" spans="2:26" ht="13.5" customHeight="1">
      <c r="B51" s="496"/>
      <c r="C51" s="544" t="s">
        <v>489</v>
      </c>
      <c r="D51" s="501">
        <f>'Annexure -II'!D44:I44</f>
        <v>0</v>
      </c>
      <c r="E51" s="501"/>
      <c r="F51" s="548" t="s">
        <v>200</v>
      </c>
      <c r="G51" s="525">
        <f>'Annexure -II'!L44</f>
        <v>0</v>
      </c>
      <c r="H51" s="549"/>
      <c r="I51" s="550" t="s">
        <v>200</v>
      </c>
      <c r="J51" s="510">
        <f t="shared" si="0"/>
        <v>0</v>
      </c>
      <c r="K51" s="548" t="s">
        <v>200</v>
      </c>
      <c r="L51" s="510">
        <f t="shared" si="1"/>
        <v>0</v>
      </c>
      <c r="M51" s="521"/>
      <c r="N51" s="503"/>
      <c r="O51" s="504"/>
      <c r="P51" s="504"/>
      <c r="Q51" s="504"/>
      <c r="R51" s="504"/>
      <c r="S51" s="504"/>
      <c r="T51" s="504"/>
      <c r="U51" s="504"/>
      <c r="V51" s="504"/>
      <c r="W51" s="504"/>
      <c r="X51" s="504"/>
      <c r="Z51" s="546">
        <v>150000</v>
      </c>
    </row>
    <row r="52" spans="2:26" ht="13.5" customHeight="1">
      <c r="B52" s="496"/>
      <c r="C52" s="544" t="s">
        <v>490</v>
      </c>
      <c r="D52" s="551" t="s">
        <v>491</v>
      </c>
      <c r="E52" s="551"/>
      <c r="F52" s="548" t="s">
        <v>200</v>
      </c>
      <c r="G52" s="525"/>
      <c r="H52" s="549"/>
      <c r="I52" s="521" t="s">
        <v>200</v>
      </c>
      <c r="J52" s="520"/>
      <c r="K52" s="521" t="s">
        <v>200</v>
      </c>
      <c r="L52" s="520"/>
      <c r="M52" s="521"/>
      <c r="N52" s="503"/>
      <c r="O52" s="504"/>
      <c r="P52" s="504"/>
      <c r="Q52" s="504"/>
      <c r="R52" s="504"/>
      <c r="S52" s="504"/>
      <c r="T52" s="504"/>
      <c r="U52" s="504"/>
      <c r="V52" s="504"/>
      <c r="W52" s="504"/>
      <c r="X52" s="504"/>
      <c r="Z52" s="546">
        <v>150000</v>
      </c>
    </row>
    <row r="53" spans="2:26" ht="13.5" customHeight="1">
      <c r="B53" s="496"/>
      <c r="C53" s="544" t="s">
        <v>492</v>
      </c>
      <c r="D53" s="501">
        <f>'Annexure -II'!D46:I46</f>
        <v>0</v>
      </c>
      <c r="E53" s="501"/>
      <c r="F53" s="501" t="s">
        <v>200</v>
      </c>
      <c r="G53" s="525">
        <f>'Annexure -II'!L46</f>
        <v>0</v>
      </c>
      <c r="H53" s="552"/>
      <c r="I53" s="521" t="s">
        <v>200</v>
      </c>
      <c r="J53" s="520">
        <f>IF(G53&lt;=Z53,G53,IF(G53&gt;=Z53,Z53))</f>
        <v>0</v>
      </c>
      <c r="K53" s="521" t="s">
        <v>200</v>
      </c>
      <c r="L53" s="520">
        <f aca="true" t="shared" si="2" ref="L53:L54">J53</f>
        <v>0</v>
      </c>
      <c r="M53" s="521"/>
      <c r="N53" s="503"/>
      <c r="O53" s="504"/>
      <c r="P53" s="504"/>
      <c r="Q53" s="504"/>
      <c r="R53" s="504"/>
      <c r="S53" s="504"/>
      <c r="T53" s="504"/>
      <c r="U53" s="504"/>
      <c r="V53" s="504"/>
      <c r="W53" s="504"/>
      <c r="X53" s="504"/>
      <c r="Y53" s="553">
        <f>SUM(G43:G54)</f>
        <v>82720</v>
      </c>
      <c r="Z53" s="546">
        <v>20000</v>
      </c>
    </row>
    <row r="54" spans="2:26" ht="13.5" customHeight="1">
      <c r="B54" s="496"/>
      <c r="C54" s="544" t="s">
        <v>493</v>
      </c>
      <c r="D54" s="501">
        <f>CONCATENATE('Annexure -II'!D47,'Annexure -II'!F47,'Annexure -II'!I47)</f>
        <v>0</v>
      </c>
      <c r="E54" s="501"/>
      <c r="F54" s="501" t="s">
        <v>200</v>
      </c>
      <c r="G54" s="525">
        <f>'Annexure -II'!L47</f>
        <v>0</v>
      </c>
      <c r="H54" s="501"/>
      <c r="I54" s="521" t="s">
        <v>200</v>
      </c>
      <c r="J54" s="520">
        <f>G54</f>
        <v>0</v>
      </c>
      <c r="K54" s="521" t="s">
        <v>200</v>
      </c>
      <c r="L54" s="520">
        <f t="shared" si="2"/>
        <v>0</v>
      </c>
      <c r="M54" s="501"/>
      <c r="N54" s="503"/>
      <c r="O54" s="504"/>
      <c r="P54" s="504"/>
      <c r="Q54" s="504"/>
      <c r="R54" s="504"/>
      <c r="S54" s="504"/>
      <c r="T54" s="504"/>
      <c r="U54" s="504"/>
      <c r="V54" s="504"/>
      <c r="W54" s="504"/>
      <c r="X54" s="504"/>
      <c r="Y54" s="553"/>
      <c r="Z54" s="546"/>
    </row>
    <row r="55" spans="2:26" ht="12" customHeight="1">
      <c r="B55" s="496"/>
      <c r="C55" s="521"/>
      <c r="D55" s="501"/>
      <c r="E55" s="501"/>
      <c r="F55" s="501"/>
      <c r="G55" s="520"/>
      <c r="H55" s="501"/>
      <c r="I55" s="554" t="s">
        <v>494</v>
      </c>
      <c r="J55" s="554"/>
      <c r="K55" s="554"/>
      <c r="L55" s="554"/>
      <c r="M55" s="555" t="s">
        <v>200</v>
      </c>
      <c r="N55" s="518">
        <f>IF(Z55&lt;=Y55,Z55,IF(Z55&gt;=Y55,Y55))</f>
        <v>82720</v>
      </c>
      <c r="O55" s="519"/>
      <c r="P55" s="519"/>
      <c r="Q55" s="519"/>
      <c r="R55" s="519"/>
      <c r="S55" s="519"/>
      <c r="T55" s="519"/>
      <c r="U55" s="519"/>
      <c r="V55" s="519"/>
      <c r="W55" s="519"/>
      <c r="X55" s="519"/>
      <c r="Y55" s="556">
        <v>150000</v>
      </c>
      <c r="Z55" s="557">
        <f>SUM(L43:L54)</f>
        <v>82720</v>
      </c>
    </row>
    <row r="56" spans="2:24" ht="11.25" customHeight="1">
      <c r="B56" s="496"/>
      <c r="C56" s="558" t="s">
        <v>376</v>
      </c>
      <c r="D56" s="559" t="s">
        <v>495</v>
      </c>
      <c r="E56" s="501"/>
      <c r="F56" s="501"/>
      <c r="G56" s="520"/>
      <c r="H56" s="501"/>
      <c r="I56" s="521"/>
      <c r="J56" s="560"/>
      <c r="K56" s="501"/>
      <c r="L56" s="560"/>
      <c r="M56" s="501"/>
      <c r="N56" s="503"/>
      <c r="O56" s="504"/>
      <c r="P56" s="504"/>
      <c r="Q56" s="504"/>
      <c r="R56" s="504"/>
      <c r="S56" s="504"/>
      <c r="T56" s="504"/>
      <c r="U56" s="504"/>
      <c r="V56" s="504"/>
      <c r="W56" s="504"/>
      <c r="X56" s="504"/>
    </row>
    <row r="57" spans="2:28" ht="13.5" customHeight="1">
      <c r="B57" s="496"/>
      <c r="C57" s="547" t="s">
        <v>477</v>
      </c>
      <c r="D57" s="501"/>
      <c r="E57" s="501"/>
      <c r="F57" s="545" t="s">
        <v>200</v>
      </c>
      <c r="G57" s="525"/>
      <c r="H57" s="545"/>
      <c r="I57" s="532" t="s">
        <v>200</v>
      </c>
      <c r="J57" s="508">
        <f>IF(G57&lt;=Z57,G57,IF(G57&gt;=Z57,Z57))</f>
        <v>0</v>
      </c>
      <c r="K57" s="545" t="s">
        <v>200</v>
      </c>
      <c r="L57" s="508">
        <f>IF(G57&lt;=Z57,G57,IF(G57&gt;=Z57,Z57))</f>
        <v>0</v>
      </c>
      <c r="M57" s="561" t="s">
        <v>200</v>
      </c>
      <c r="N57" s="562">
        <f>L57</f>
        <v>0</v>
      </c>
      <c r="O57" s="519"/>
      <c r="P57" s="519"/>
      <c r="Q57" s="519"/>
      <c r="R57" s="519"/>
      <c r="S57" s="519"/>
      <c r="T57" s="519"/>
      <c r="U57" s="519"/>
      <c r="V57" s="519"/>
      <c r="W57" s="519"/>
      <c r="X57" s="519"/>
      <c r="Z57" s="546">
        <v>10000</v>
      </c>
      <c r="AB57" s="563">
        <f>N55+N57+N59</f>
        <v>160360</v>
      </c>
    </row>
    <row r="58" spans="2:28" ht="14.25" customHeight="1">
      <c r="B58" s="496"/>
      <c r="C58" s="558" t="s">
        <v>377</v>
      </c>
      <c r="D58" s="559" t="s">
        <v>496</v>
      </c>
      <c r="E58" s="501"/>
      <c r="F58" s="501"/>
      <c r="G58" s="520"/>
      <c r="H58" s="501"/>
      <c r="I58" s="521"/>
      <c r="J58" s="517"/>
      <c r="K58" s="501"/>
      <c r="L58" s="517"/>
      <c r="M58" s="501"/>
      <c r="N58" s="503"/>
      <c r="O58" s="504"/>
      <c r="P58" s="504"/>
      <c r="Q58" s="504"/>
      <c r="R58" s="504"/>
      <c r="S58" s="504"/>
      <c r="T58" s="504"/>
      <c r="U58" s="504"/>
      <c r="V58" s="504"/>
      <c r="W58" s="504"/>
      <c r="X58" s="504"/>
      <c r="AB58" s="564"/>
    </row>
    <row r="59" spans="2:28" ht="13.5" customHeight="1">
      <c r="B59" s="496"/>
      <c r="C59" s="547" t="s">
        <v>477</v>
      </c>
      <c r="D59" s="501" t="s">
        <v>497</v>
      </c>
      <c r="E59" s="501"/>
      <c r="F59" s="545" t="s">
        <v>200</v>
      </c>
      <c r="G59" s="525">
        <f>IF(DATA!AA34=3,'Annexure -I'!O23,0)</f>
        <v>77640</v>
      </c>
      <c r="H59" s="545"/>
      <c r="I59" s="532" t="s">
        <v>200</v>
      </c>
      <c r="J59" s="508">
        <f>IF(G59&lt;=Z59,G59,IF(G59&gt;=Z59,Z59))</f>
        <v>77640</v>
      </c>
      <c r="K59" s="545" t="s">
        <v>200</v>
      </c>
      <c r="L59" s="508">
        <f>IF(G59&lt;Z59,G59,IF(G59&gt;Z59,Z59))</f>
        <v>77640</v>
      </c>
      <c r="M59" s="565" t="s">
        <v>200</v>
      </c>
      <c r="N59" s="566">
        <f>L59</f>
        <v>77640</v>
      </c>
      <c r="O59" s="519"/>
      <c r="P59" s="519"/>
      <c r="Q59" s="519"/>
      <c r="R59" s="519"/>
      <c r="S59" s="519"/>
      <c r="T59" s="519"/>
      <c r="U59" s="519"/>
      <c r="V59" s="519"/>
      <c r="W59" s="519"/>
      <c r="X59" s="519"/>
      <c r="Z59" s="546">
        <v>100000</v>
      </c>
      <c r="AB59" s="435"/>
    </row>
    <row r="60" spans="2:28" ht="15" customHeight="1">
      <c r="B60" s="496"/>
      <c r="C60" s="567" t="s">
        <v>498</v>
      </c>
      <c r="D60" s="567"/>
      <c r="E60" s="567"/>
      <c r="F60" s="567"/>
      <c r="G60" s="567"/>
      <c r="H60" s="567"/>
      <c r="I60" s="567"/>
      <c r="J60" s="567"/>
      <c r="K60" s="567"/>
      <c r="L60" s="567"/>
      <c r="M60" s="568" t="s">
        <v>200</v>
      </c>
      <c r="N60" s="569">
        <f>AB64+L53</f>
        <v>150000</v>
      </c>
      <c r="O60" s="519"/>
      <c r="P60" s="519"/>
      <c r="Q60" s="519"/>
      <c r="R60" s="519"/>
      <c r="S60" s="519"/>
      <c r="T60" s="519"/>
      <c r="U60" s="519"/>
      <c r="V60" s="519"/>
      <c r="W60" s="519"/>
      <c r="X60" s="519"/>
      <c r="Y60" s="435">
        <f>Z55+N57+N59</f>
        <v>160360</v>
      </c>
      <c r="Z60" s="570">
        <v>150000</v>
      </c>
      <c r="AB60" s="571">
        <f>IF(AB57&lt;Y55,AB57,AB58)</f>
        <v>0</v>
      </c>
    </row>
    <row r="61" spans="2:28" ht="15" customHeight="1">
      <c r="B61" s="538"/>
      <c r="C61" s="558" t="s">
        <v>388</v>
      </c>
      <c r="D61" s="559" t="s">
        <v>499</v>
      </c>
      <c r="E61" s="559" t="s">
        <v>500</v>
      </c>
      <c r="F61" s="545" t="s">
        <v>200</v>
      </c>
      <c r="G61" s="525">
        <f>'Annexure -II'!L50</f>
        <v>0</v>
      </c>
      <c r="H61" s="545"/>
      <c r="I61" s="532" t="s">
        <v>200</v>
      </c>
      <c r="J61" s="508">
        <f>'Annexure -II'!M50</f>
        <v>0</v>
      </c>
      <c r="K61" s="545" t="s">
        <v>200</v>
      </c>
      <c r="L61" s="508">
        <f aca="true" t="shared" si="3" ref="L61:L62">J61</f>
        <v>0</v>
      </c>
      <c r="M61" s="561" t="s">
        <v>200</v>
      </c>
      <c r="N61" s="562">
        <f aca="true" t="shared" si="4" ref="N61:N62">L61</f>
        <v>0</v>
      </c>
      <c r="O61" s="519"/>
      <c r="P61" s="519"/>
      <c r="Q61" s="519"/>
      <c r="R61" s="519"/>
      <c r="S61" s="519"/>
      <c r="T61" s="519"/>
      <c r="U61" s="519"/>
      <c r="V61" s="519"/>
      <c r="W61" s="519"/>
      <c r="X61" s="519"/>
      <c r="Y61" s="435"/>
      <c r="Z61" s="570">
        <v>25000</v>
      </c>
      <c r="AB61" s="571"/>
    </row>
    <row r="62" spans="2:28" ht="15" customHeight="1">
      <c r="B62" s="572"/>
      <c r="C62" s="559" t="s">
        <v>389</v>
      </c>
      <c r="D62" s="559" t="s">
        <v>501</v>
      </c>
      <c r="E62" s="559"/>
      <c r="F62" s="545" t="s">
        <v>200</v>
      </c>
      <c r="G62" s="525">
        <f>'Annexure -II'!L51</f>
        <v>0</v>
      </c>
      <c r="H62" s="501"/>
      <c r="I62" s="532" t="s">
        <v>200</v>
      </c>
      <c r="J62" s="508">
        <f>'Annexure -II'!M51</f>
        <v>0</v>
      </c>
      <c r="K62" s="545" t="s">
        <v>200</v>
      </c>
      <c r="L62" s="508">
        <f t="shared" si="3"/>
        <v>0</v>
      </c>
      <c r="M62" s="561" t="s">
        <v>200</v>
      </c>
      <c r="N62" s="562">
        <f t="shared" si="4"/>
        <v>0</v>
      </c>
      <c r="O62" s="519"/>
      <c r="P62" s="519"/>
      <c r="Q62" s="519"/>
      <c r="R62" s="519"/>
      <c r="S62" s="519"/>
      <c r="T62" s="519"/>
      <c r="U62" s="519"/>
      <c r="V62" s="519"/>
      <c r="W62" s="519"/>
      <c r="X62" s="519"/>
      <c r="Y62" s="435"/>
      <c r="Z62" s="570"/>
      <c r="AB62" s="571"/>
    </row>
    <row r="63" spans="2:28" ht="12" customHeight="1">
      <c r="B63" s="573" t="s">
        <v>502</v>
      </c>
      <c r="C63" s="573"/>
      <c r="D63" s="574" t="s">
        <v>503</v>
      </c>
      <c r="E63" s="574"/>
      <c r="F63" s="574"/>
      <c r="G63" s="574"/>
      <c r="H63" s="574"/>
      <c r="I63" s="574"/>
      <c r="J63" s="574"/>
      <c r="K63" s="574"/>
      <c r="L63" s="574"/>
      <c r="M63" s="574"/>
      <c r="N63" s="574"/>
      <c r="O63" s="542"/>
      <c r="P63" s="542"/>
      <c r="Q63" s="542"/>
      <c r="R63" s="542"/>
      <c r="S63" s="542"/>
      <c r="T63" s="542"/>
      <c r="U63" s="542"/>
      <c r="V63" s="542"/>
      <c r="W63" s="542"/>
      <c r="X63" s="542"/>
      <c r="AB63" s="435"/>
    </row>
    <row r="64" spans="2:28" ht="12" customHeight="1">
      <c r="B64" s="575"/>
      <c r="C64" s="575"/>
      <c r="D64" s="576" t="s">
        <v>504</v>
      </c>
      <c r="E64" s="576"/>
      <c r="F64" s="576"/>
      <c r="G64" s="576"/>
      <c r="H64" s="576"/>
      <c r="I64" s="576"/>
      <c r="J64" s="576"/>
      <c r="K64" s="576"/>
      <c r="L64" s="576"/>
      <c r="M64" s="576"/>
      <c r="N64" s="576"/>
      <c r="O64" s="542"/>
      <c r="P64" s="542"/>
      <c r="Q64" s="542"/>
      <c r="R64" s="542"/>
      <c r="S64" s="542"/>
      <c r="T64" s="542"/>
      <c r="U64" s="542"/>
      <c r="V64" s="542"/>
      <c r="W64" s="542"/>
      <c r="X64" s="542"/>
      <c r="AB64" s="557">
        <f>IF(Y60&lt;Z60,Y60,IF(Y60&gt;Z60,Z60))</f>
        <v>150000</v>
      </c>
    </row>
    <row r="65" spans="2:24" ht="13.5" customHeight="1">
      <c r="B65" s="577">
        <f>'Annexure -II'!B73</f>
        <v>0</v>
      </c>
      <c r="C65" s="578"/>
      <c r="D65" s="579"/>
      <c r="E65" s="579"/>
      <c r="F65" s="579"/>
      <c r="G65" s="579"/>
      <c r="H65" s="579"/>
      <c r="I65" s="579"/>
      <c r="J65" s="579"/>
      <c r="K65" s="579"/>
      <c r="L65" s="579"/>
      <c r="M65" s="579"/>
      <c r="N65" s="579"/>
      <c r="O65" s="579"/>
      <c r="P65" s="579"/>
      <c r="Q65" s="579"/>
      <c r="R65" s="579"/>
      <c r="S65" s="579"/>
      <c r="T65" s="579"/>
      <c r="U65" s="579"/>
      <c r="V65" s="579"/>
      <c r="W65" s="579"/>
      <c r="X65" s="579"/>
    </row>
    <row r="71" ht="16.5" customHeight="1" hidden="1"/>
    <row r="72" ht="16.5" customHeight="1" hidden="1"/>
    <row r="73" ht="16.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hidden="1"/>
    <row r="82" ht="15" customHeight="1" hidden="1"/>
    <row r="83" ht="15" customHeight="1" hidden="1"/>
    <row r="84" ht="15" customHeight="1" hidden="1"/>
    <row r="85" ht="15" customHeight="1" hidden="1"/>
    <row r="86" ht="15" customHeight="1" hidden="1"/>
    <row r="87" ht="15" customHeight="1" hidden="1"/>
    <row r="88" ht="15" customHeight="1" hidden="1"/>
    <row r="89" ht="15" customHeight="1" hidden="1"/>
    <row r="90" ht="15" customHeight="1" hidden="1"/>
    <row r="91" ht="15" customHeight="1" hidden="1"/>
    <row r="92" ht="13.5" customHeight="1" hidden="1"/>
    <row r="93" ht="15" customHeight="1" hidden="1"/>
    <row r="94" ht="15" customHeight="1" hidden="1"/>
    <row r="95" ht="15" customHeight="1" hidden="1"/>
    <row r="96" ht="15" customHeight="1" hidden="1"/>
    <row r="97" ht="15" customHeight="1" hidden="1"/>
    <row r="98" ht="15" customHeight="1" hidden="1"/>
    <row r="99" ht="15" customHeight="1" hidden="1"/>
    <row r="100" ht="15" customHeight="1" hidden="1"/>
    <row r="101" ht="15" customHeight="1" hidden="1"/>
    <row r="102" ht="15" customHeight="1" hidden="1"/>
    <row r="103" ht="15" customHeight="1" hidden="1"/>
    <row r="104" ht="15" customHeight="1" hidden="1"/>
    <row r="105" ht="15" customHeight="1" hidden="1"/>
    <row r="106" ht="15" customHeight="1" hidden="1"/>
    <row r="107" ht="15" customHeight="1" hidden="1"/>
    <row r="108" ht="15" customHeight="1" hidden="1"/>
    <row r="109" ht="15" customHeight="1" hidden="1"/>
    <row r="110" ht="15" customHeight="1" hidden="1"/>
    <row r="111" ht="15" customHeight="1" hidden="1"/>
  </sheetData>
  <sheetProtection password="F3B7" sheet="1" scenarios="1" selectLockedCells="1" selectUnlockedCells="1"/>
  <mergeCells count="70">
    <mergeCell ref="B1:N1"/>
    <mergeCell ref="B2:N3"/>
    <mergeCell ref="B4:H4"/>
    <mergeCell ref="I4:N4"/>
    <mergeCell ref="B6:H6"/>
    <mergeCell ref="I6:N6"/>
    <mergeCell ref="B7:H7"/>
    <mergeCell ref="I7:N7"/>
    <mergeCell ref="B8:H8"/>
    <mergeCell ref="I8:N8"/>
    <mergeCell ref="B9:H9"/>
    <mergeCell ref="I9:N9"/>
    <mergeCell ref="B10:H10"/>
    <mergeCell ref="I10:N10"/>
    <mergeCell ref="B11:D11"/>
    <mergeCell ref="E11:G11"/>
    <mergeCell ref="I11:K11"/>
    <mergeCell ref="L11:N11"/>
    <mergeCell ref="B12:N12"/>
    <mergeCell ref="B13:D13"/>
    <mergeCell ref="E13:H13"/>
    <mergeCell ref="I13:L13"/>
    <mergeCell ref="M13:N13"/>
    <mergeCell ref="B14:D14"/>
    <mergeCell ref="E14:H14"/>
    <mergeCell ref="I14:J14"/>
    <mergeCell ref="K14:L14"/>
    <mergeCell ref="M14:N14"/>
    <mergeCell ref="B15:D15"/>
    <mergeCell ref="E15:H15"/>
    <mergeCell ref="I15:J17"/>
    <mergeCell ref="K15:L17"/>
    <mergeCell ref="M15:N17"/>
    <mergeCell ref="B16:D16"/>
    <mergeCell ref="E16:H16"/>
    <mergeCell ref="B17:D17"/>
    <mergeCell ref="E17:H17"/>
    <mergeCell ref="B18:N18"/>
    <mergeCell ref="B19:N19"/>
    <mergeCell ref="C20:D20"/>
    <mergeCell ref="D21:H21"/>
    <mergeCell ref="D22:H22"/>
    <mergeCell ref="D23:H23"/>
    <mergeCell ref="D24:H24"/>
    <mergeCell ref="D25:H25"/>
    <mergeCell ref="C27:H27"/>
    <mergeCell ref="D29:E29"/>
    <mergeCell ref="C30:H30"/>
    <mergeCell ref="C31:H31"/>
    <mergeCell ref="C34:H34"/>
    <mergeCell ref="C35:H35"/>
    <mergeCell ref="C36:H36"/>
    <mergeCell ref="C37:H37"/>
    <mergeCell ref="C38:H38"/>
    <mergeCell ref="C39:E39"/>
    <mergeCell ref="C40:G40"/>
    <mergeCell ref="C41:E41"/>
    <mergeCell ref="I41:J41"/>
    <mergeCell ref="K41:L41"/>
    <mergeCell ref="D46:E46"/>
    <mergeCell ref="D47:E47"/>
    <mergeCell ref="D52:E52"/>
    <mergeCell ref="I55:L55"/>
    <mergeCell ref="D57:E57"/>
    <mergeCell ref="D59:E59"/>
    <mergeCell ref="C60:L60"/>
    <mergeCell ref="B63:C63"/>
    <mergeCell ref="D63:N63"/>
    <mergeCell ref="B64:C64"/>
    <mergeCell ref="D64:N64"/>
  </mergeCells>
  <printOptions horizontalCentered="1" verticalCentered="1"/>
  <pageMargins left="0.7" right="0.45" top="0.5" bottom="0.5" header="0.5118055555555555" footer="0.5118055555555555"/>
  <pageSetup horizontalDpi="300" verticalDpi="300" orientation="portrait" paperSize="9" scale="90"/>
</worksheet>
</file>

<file path=xl/worksheets/sheet6.xml><?xml version="1.0" encoding="utf-8"?>
<worksheet xmlns="http://schemas.openxmlformats.org/spreadsheetml/2006/main" xmlns:r="http://schemas.openxmlformats.org/officeDocument/2006/relationships">
  <dimension ref="B2:AD69"/>
  <sheetViews>
    <sheetView showGridLines="0" showRowColHeaders="0" workbookViewId="0" topLeftCell="A1">
      <selection activeCell="I16" sqref="I16"/>
    </sheetView>
  </sheetViews>
  <sheetFormatPr defaultColWidth="1.1484375" defaultRowHeight="15" zeroHeight="1"/>
  <cols>
    <col min="1" max="1" width="1.421875" style="318" customWidth="1"/>
    <col min="2" max="2" width="4.140625" style="318" customWidth="1"/>
    <col min="3" max="3" width="3.421875" style="318" customWidth="1"/>
    <col min="4" max="4" width="11.140625" style="318" customWidth="1"/>
    <col min="5" max="5" width="24.28125" style="318" customWidth="1"/>
    <col min="6" max="6" width="3.8515625" style="318" customWidth="1"/>
    <col min="7" max="7" width="11.00390625" style="318" customWidth="1"/>
    <col min="8" max="8" width="1.57421875" style="318" customWidth="1"/>
    <col min="9" max="9" width="3.57421875" style="318" customWidth="1"/>
    <col min="10" max="10" width="12.00390625" style="318" customWidth="1"/>
    <col min="11" max="11" width="3.421875" style="318" customWidth="1"/>
    <col min="12" max="12" width="12.28125" style="318" customWidth="1"/>
    <col min="13" max="13" width="3.28125" style="318" customWidth="1"/>
    <col min="14" max="14" width="12.00390625" style="318" customWidth="1"/>
    <col min="15" max="15" width="1.8515625" style="318" customWidth="1"/>
    <col min="16" max="25" width="0" style="318" hidden="1" customWidth="1"/>
    <col min="26" max="26" width="0" style="319" hidden="1" customWidth="1"/>
    <col min="27" max="16384" width="0" style="318" hidden="1" customWidth="1"/>
  </cols>
  <sheetData>
    <row r="1" ht="6.75" customHeight="1"/>
    <row r="2" spans="2:24" ht="18" customHeight="1">
      <c r="B2" s="455" t="s">
        <v>505</v>
      </c>
      <c r="C2" s="455"/>
      <c r="D2" s="455"/>
      <c r="E2" s="455"/>
      <c r="F2" s="455"/>
      <c r="G2" s="455"/>
      <c r="H2" s="455"/>
      <c r="I2" s="455"/>
      <c r="J2" s="455"/>
      <c r="K2" s="455"/>
      <c r="L2" s="455"/>
      <c r="M2" s="455"/>
      <c r="N2" s="455"/>
      <c r="O2" s="456"/>
      <c r="P2" s="456"/>
      <c r="Q2" s="456"/>
      <c r="R2" s="456"/>
      <c r="S2" s="456"/>
      <c r="T2" s="456"/>
      <c r="U2" s="456"/>
      <c r="V2" s="456"/>
      <c r="W2" s="456"/>
      <c r="X2" s="456"/>
    </row>
    <row r="3" spans="2:24" ht="14.25" customHeight="1">
      <c r="B3" s="478" t="s">
        <v>506</v>
      </c>
      <c r="C3" s="478"/>
      <c r="D3" s="478"/>
      <c r="E3" s="478"/>
      <c r="F3" s="478"/>
      <c r="G3" s="478"/>
      <c r="H3" s="478"/>
      <c r="I3" s="478"/>
      <c r="J3" s="478"/>
      <c r="K3" s="478"/>
      <c r="L3" s="478"/>
      <c r="M3" s="478"/>
      <c r="N3" s="478"/>
      <c r="O3" s="458"/>
      <c r="P3" s="458"/>
      <c r="Q3" s="458"/>
      <c r="R3" s="458"/>
      <c r="S3" s="458"/>
      <c r="T3" s="458"/>
      <c r="U3" s="458"/>
      <c r="V3" s="458"/>
      <c r="W3" s="458"/>
      <c r="X3" s="458"/>
    </row>
    <row r="4" spans="2:24" ht="14.25" customHeight="1">
      <c r="B4" s="478"/>
      <c r="C4" s="478"/>
      <c r="D4" s="478"/>
      <c r="E4" s="478"/>
      <c r="F4" s="478"/>
      <c r="G4" s="478"/>
      <c r="H4" s="478"/>
      <c r="I4" s="478"/>
      <c r="J4" s="478"/>
      <c r="K4" s="478"/>
      <c r="L4" s="478"/>
      <c r="M4" s="478"/>
      <c r="N4" s="478"/>
      <c r="O4" s="458"/>
      <c r="P4" s="458"/>
      <c r="Q4" s="458"/>
      <c r="R4" s="458"/>
      <c r="S4" s="458"/>
      <c r="T4" s="458"/>
      <c r="U4" s="458"/>
      <c r="V4" s="458"/>
      <c r="W4" s="458"/>
      <c r="X4" s="458"/>
    </row>
    <row r="5" spans="2:24" ht="13.5" customHeight="1">
      <c r="B5" s="580" t="s">
        <v>433</v>
      </c>
      <c r="C5" s="580"/>
      <c r="D5" s="580"/>
      <c r="E5" s="580"/>
      <c r="F5" s="580"/>
      <c r="G5" s="580"/>
      <c r="H5" s="580"/>
      <c r="I5" s="460" t="s">
        <v>434</v>
      </c>
      <c r="J5" s="460"/>
      <c r="K5" s="460"/>
      <c r="L5" s="460"/>
      <c r="M5" s="460"/>
      <c r="N5" s="460"/>
      <c r="O5" s="461"/>
      <c r="P5" s="461"/>
      <c r="Q5" s="461"/>
      <c r="R5" s="461"/>
      <c r="S5" s="461"/>
      <c r="T5" s="461"/>
      <c r="U5" s="461"/>
      <c r="V5" s="461"/>
      <c r="W5" s="461"/>
      <c r="X5" s="461"/>
    </row>
    <row r="6" spans="2:24" ht="4.5" customHeight="1">
      <c r="B6" s="462"/>
      <c r="C6" s="463"/>
      <c r="D6" s="463"/>
      <c r="E6" s="463"/>
      <c r="F6" s="463"/>
      <c r="G6" s="463"/>
      <c r="H6" s="463"/>
      <c r="I6" s="464"/>
      <c r="J6" s="463"/>
      <c r="K6" s="463"/>
      <c r="L6" s="463"/>
      <c r="M6" s="463"/>
      <c r="N6" s="465"/>
      <c r="O6" s="466"/>
      <c r="P6" s="466"/>
      <c r="Q6" s="466"/>
      <c r="R6" s="466"/>
      <c r="S6" s="466"/>
      <c r="T6" s="466"/>
      <c r="U6" s="466"/>
      <c r="V6" s="466"/>
      <c r="W6" s="466"/>
      <c r="X6" s="466"/>
    </row>
    <row r="7" spans="2:24" ht="13.5" customHeight="1">
      <c r="B7" s="581">
        <f>DATA!C33</f>
        <v>0</v>
      </c>
      <c r="C7" s="581"/>
      <c r="D7" s="581"/>
      <c r="E7" s="581"/>
      <c r="F7" s="581"/>
      <c r="G7" s="581"/>
      <c r="H7" s="581"/>
      <c r="I7" s="582">
        <f>DATA!D4</f>
        <v>0</v>
      </c>
      <c r="J7" s="582"/>
      <c r="K7" s="582"/>
      <c r="L7" s="582"/>
      <c r="M7" s="582"/>
      <c r="N7" s="582"/>
      <c r="O7" s="469"/>
      <c r="P7" s="469"/>
      <c r="Q7" s="469"/>
      <c r="R7" s="469"/>
      <c r="S7" s="469"/>
      <c r="T7" s="469"/>
      <c r="U7" s="469"/>
      <c r="V7" s="469"/>
      <c r="W7" s="469"/>
      <c r="X7" s="469"/>
    </row>
    <row r="8" spans="2:24" ht="13.5" customHeight="1">
      <c r="B8" s="581">
        <f>DATA!C34</f>
        <v>0</v>
      </c>
      <c r="C8" s="581"/>
      <c r="D8" s="581"/>
      <c r="E8" s="581"/>
      <c r="F8" s="581"/>
      <c r="G8" s="581"/>
      <c r="H8" s="581"/>
      <c r="I8" s="582">
        <f>DATA!L4</f>
        <v>0</v>
      </c>
      <c r="J8" s="582"/>
      <c r="K8" s="582"/>
      <c r="L8" s="582"/>
      <c r="M8" s="582"/>
      <c r="N8" s="582"/>
      <c r="O8" s="469"/>
      <c r="P8" s="469"/>
      <c r="Q8" s="469"/>
      <c r="R8" s="469"/>
      <c r="S8" s="469"/>
      <c r="T8" s="469"/>
      <c r="U8" s="469"/>
      <c r="V8" s="469"/>
      <c r="W8" s="469"/>
      <c r="X8" s="469"/>
    </row>
    <row r="9" spans="2:24" ht="13.5" customHeight="1">
      <c r="B9" s="581">
        <f>CONCATENATE("O/o ",DATA!I35)</f>
        <v>0</v>
      </c>
      <c r="C9" s="581"/>
      <c r="D9" s="581"/>
      <c r="E9" s="581"/>
      <c r="F9" s="581"/>
      <c r="G9" s="581"/>
      <c r="H9" s="581"/>
      <c r="I9" s="582">
        <f>DATA!C5</f>
        <v>0</v>
      </c>
      <c r="J9" s="582"/>
      <c r="K9" s="582"/>
      <c r="L9" s="582"/>
      <c r="M9" s="582"/>
      <c r="N9" s="582"/>
      <c r="O9" s="469"/>
      <c r="P9" s="469"/>
      <c r="Q9" s="469"/>
      <c r="R9" s="469"/>
      <c r="S9" s="469"/>
      <c r="T9" s="469"/>
      <c r="U9" s="469"/>
      <c r="V9" s="469"/>
      <c r="W9" s="469"/>
      <c r="X9" s="469"/>
    </row>
    <row r="10" spans="2:24" ht="13.5" customHeight="1">
      <c r="B10" s="581">
        <f>CONCATENATE("Mandal : ",DATA!L5)</f>
        <v>0</v>
      </c>
      <c r="C10" s="581"/>
      <c r="D10" s="581"/>
      <c r="E10" s="581"/>
      <c r="F10" s="581"/>
      <c r="G10" s="581"/>
      <c r="H10" s="581"/>
      <c r="I10" s="582">
        <f>DATA!L5</f>
        <v>0</v>
      </c>
      <c r="J10" s="582"/>
      <c r="K10" s="582"/>
      <c r="L10" s="582"/>
      <c r="M10" s="582"/>
      <c r="N10" s="582"/>
      <c r="O10" s="469"/>
      <c r="P10" s="469"/>
      <c r="Q10" s="469"/>
      <c r="R10" s="469"/>
      <c r="S10" s="469"/>
      <c r="T10" s="469"/>
      <c r="U10" s="469"/>
      <c r="V10" s="469"/>
      <c r="W10" s="469"/>
      <c r="X10" s="469"/>
    </row>
    <row r="11" spans="2:24" ht="4.5" customHeight="1">
      <c r="B11" s="583"/>
      <c r="C11" s="583"/>
      <c r="D11" s="583"/>
      <c r="E11" s="583"/>
      <c r="F11" s="583"/>
      <c r="G11" s="583"/>
      <c r="H11" s="583"/>
      <c r="I11" s="584"/>
      <c r="J11" s="584"/>
      <c r="K11" s="584"/>
      <c r="L11" s="584"/>
      <c r="M11" s="584"/>
      <c r="N11" s="584"/>
      <c r="O11" s="469"/>
      <c r="P11" s="469"/>
      <c r="Q11" s="469"/>
      <c r="R11" s="469"/>
      <c r="S11" s="469"/>
      <c r="T11" s="469"/>
      <c r="U11" s="469"/>
      <c r="V11" s="469"/>
      <c r="W11" s="469"/>
      <c r="X11" s="469"/>
    </row>
    <row r="12" spans="2:24" ht="15.75" customHeight="1">
      <c r="B12" s="473" t="s">
        <v>435</v>
      </c>
      <c r="C12" s="473"/>
      <c r="D12" s="473"/>
      <c r="E12" s="474">
        <f>DATA!C35</f>
        <v>0</v>
      </c>
      <c r="F12" s="474"/>
      <c r="G12" s="474"/>
      <c r="H12" s="475"/>
      <c r="I12" s="476" t="s">
        <v>436</v>
      </c>
      <c r="J12" s="476"/>
      <c r="K12" s="476"/>
      <c r="L12" s="477">
        <f>DATA!L17</f>
        <v>0</v>
      </c>
      <c r="M12" s="477"/>
      <c r="N12" s="477"/>
      <c r="O12" s="461"/>
      <c r="P12" s="461"/>
      <c r="Q12" s="461"/>
      <c r="R12" s="461"/>
      <c r="S12" s="461"/>
      <c r="T12" s="461"/>
      <c r="U12" s="461"/>
      <c r="V12" s="461"/>
      <c r="W12" s="461"/>
      <c r="X12" s="461"/>
    </row>
    <row r="13" spans="2:24" ht="26.25" customHeight="1">
      <c r="B13" s="585" t="s">
        <v>437</v>
      </c>
      <c r="C13" s="585"/>
      <c r="D13" s="585"/>
      <c r="E13" s="585"/>
      <c r="F13" s="585"/>
      <c r="G13" s="585"/>
      <c r="H13" s="585"/>
      <c r="I13" s="585"/>
      <c r="J13" s="585"/>
      <c r="K13" s="585"/>
      <c r="L13" s="585"/>
      <c r="M13" s="585"/>
      <c r="N13" s="585"/>
      <c r="O13" s="479"/>
      <c r="P13" s="479"/>
      <c r="Q13" s="479"/>
      <c r="R13" s="479"/>
      <c r="S13" s="479"/>
      <c r="T13" s="479"/>
      <c r="U13" s="479"/>
      <c r="V13" s="479"/>
      <c r="W13" s="479"/>
      <c r="X13" s="479"/>
    </row>
    <row r="14" spans="2:24" ht="14.25" customHeight="1">
      <c r="B14" s="485" t="s">
        <v>438</v>
      </c>
      <c r="C14" s="485"/>
      <c r="D14" s="485"/>
      <c r="E14" s="486" t="s">
        <v>439</v>
      </c>
      <c r="F14" s="486"/>
      <c r="G14" s="486"/>
      <c r="H14" s="486"/>
      <c r="I14" s="486" t="s">
        <v>440</v>
      </c>
      <c r="J14" s="486"/>
      <c r="K14" s="486"/>
      <c r="L14" s="486"/>
      <c r="M14" s="483" t="s">
        <v>441</v>
      </c>
      <c r="N14" s="483"/>
      <c r="O14" s="461"/>
      <c r="P14" s="461"/>
      <c r="Q14" s="461"/>
      <c r="R14" s="461"/>
      <c r="S14" s="461"/>
      <c r="T14" s="461"/>
      <c r="U14" s="461"/>
      <c r="V14" s="461"/>
      <c r="W14" s="461"/>
      <c r="X14" s="461"/>
    </row>
    <row r="15" spans="2:24" ht="16.5" customHeight="1">
      <c r="B15" s="485">
        <v>1</v>
      </c>
      <c r="C15" s="485"/>
      <c r="D15" s="485"/>
      <c r="E15" s="294"/>
      <c r="F15" s="294"/>
      <c r="G15" s="294"/>
      <c r="H15" s="294"/>
      <c r="I15" s="486" t="s">
        <v>442</v>
      </c>
      <c r="J15" s="486"/>
      <c r="K15" s="486" t="s">
        <v>443</v>
      </c>
      <c r="L15" s="486"/>
      <c r="M15" s="484" t="s">
        <v>444</v>
      </c>
      <c r="N15" s="484"/>
      <c r="O15" s="461"/>
      <c r="P15" s="461"/>
      <c r="Q15" s="461"/>
      <c r="R15" s="461"/>
      <c r="S15" s="461"/>
      <c r="T15" s="461"/>
      <c r="U15" s="461"/>
      <c r="V15" s="461"/>
      <c r="W15" s="461"/>
      <c r="X15" s="461"/>
    </row>
    <row r="16" spans="2:24" ht="16.5" customHeight="1">
      <c r="B16" s="485">
        <v>2</v>
      </c>
      <c r="C16" s="485"/>
      <c r="D16" s="485"/>
      <c r="E16" s="294"/>
      <c r="F16" s="294"/>
      <c r="G16" s="294"/>
      <c r="H16" s="294"/>
      <c r="I16" s="586" t="s">
        <v>221</v>
      </c>
      <c r="J16" s="586"/>
      <c r="K16" s="586" t="s">
        <v>507</v>
      </c>
      <c r="L16" s="586"/>
      <c r="M16" s="587" t="s">
        <v>446</v>
      </c>
      <c r="N16" s="587"/>
      <c r="O16" s="490"/>
      <c r="P16" s="490"/>
      <c r="Q16" s="490"/>
      <c r="R16" s="490"/>
      <c r="S16" s="490"/>
      <c r="T16" s="490"/>
      <c r="U16" s="490"/>
      <c r="V16" s="490"/>
      <c r="W16" s="490"/>
      <c r="X16" s="490"/>
    </row>
    <row r="17" spans="2:24" ht="16.5" customHeight="1">
      <c r="B17" s="485">
        <v>3</v>
      </c>
      <c r="C17" s="485"/>
      <c r="D17" s="485"/>
      <c r="E17" s="294"/>
      <c r="F17" s="294"/>
      <c r="G17" s="294"/>
      <c r="H17" s="294"/>
      <c r="I17" s="586"/>
      <c r="J17" s="586"/>
      <c r="K17" s="586"/>
      <c r="L17" s="586"/>
      <c r="M17" s="587"/>
      <c r="N17" s="587"/>
      <c r="O17" s="490"/>
      <c r="P17" s="490"/>
      <c r="Q17" s="490"/>
      <c r="R17" s="490"/>
      <c r="S17" s="490"/>
      <c r="T17" s="490"/>
      <c r="U17" s="490"/>
      <c r="V17" s="490"/>
      <c r="W17" s="490"/>
      <c r="X17" s="490"/>
    </row>
    <row r="18" spans="2:24" ht="16.5" customHeight="1">
      <c r="B18" s="485">
        <v>4</v>
      </c>
      <c r="C18" s="485"/>
      <c r="D18" s="485"/>
      <c r="E18" s="294"/>
      <c r="F18" s="294"/>
      <c r="G18" s="294"/>
      <c r="H18" s="294"/>
      <c r="I18" s="586"/>
      <c r="J18" s="586"/>
      <c r="K18" s="586"/>
      <c r="L18" s="586"/>
      <c r="M18" s="587"/>
      <c r="N18" s="587"/>
      <c r="O18" s="490"/>
      <c r="P18" s="490"/>
      <c r="Q18" s="490"/>
      <c r="R18" s="490"/>
      <c r="S18" s="490"/>
      <c r="T18" s="490"/>
      <c r="U18" s="490"/>
      <c r="V18" s="490"/>
      <c r="W18" s="490"/>
      <c r="X18" s="490"/>
    </row>
    <row r="19" spans="2:26" ht="12.75" customHeight="1">
      <c r="B19" s="588" t="s">
        <v>447</v>
      </c>
      <c r="C19" s="588"/>
      <c r="D19" s="588"/>
      <c r="E19" s="588"/>
      <c r="F19" s="588"/>
      <c r="G19" s="588"/>
      <c r="H19" s="588"/>
      <c r="I19" s="588"/>
      <c r="J19" s="588"/>
      <c r="K19" s="588"/>
      <c r="L19" s="588"/>
      <c r="M19" s="588"/>
      <c r="N19" s="588"/>
      <c r="O19" s="492"/>
      <c r="P19" s="492"/>
      <c r="Q19" s="492"/>
      <c r="R19" s="492"/>
      <c r="S19" s="492"/>
      <c r="T19" s="492"/>
      <c r="U19" s="492"/>
      <c r="V19" s="492"/>
      <c r="W19" s="492"/>
      <c r="X19" s="492"/>
      <c r="Y19" s="493"/>
      <c r="Z19" s="493"/>
    </row>
    <row r="20" spans="2:24" ht="3" customHeight="1">
      <c r="B20" s="494"/>
      <c r="C20" s="494"/>
      <c r="D20" s="494"/>
      <c r="E20" s="494"/>
      <c r="F20" s="494"/>
      <c r="G20" s="494"/>
      <c r="H20" s="494"/>
      <c r="I20" s="494"/>
      <c r="J20" s="494"/>
      <c r="K20" s="494"/>
      <c r="L20" s="494"/>
      <c r="M20" s="494"/>
      <c r="N20" s="494"/>
      <c r="O20" s="495"/>
      <c r="P20" s="495"/>
      <c r="Q20" s="495"/>
      <c r="R20" s="495"/>
      <c r="S20" s="495"/>
      <c r="T20" s="495"/>
      <c r="U20" s="495"/>
      <c r="V20" s="495"/>
      <c r="W20" s="495"/>
      <c r="X20" s="495"/>
    </row>
    <row r="21" spans="2:24" ht="15.75" customHeight="1">
      <c r="B21" s="496">
        <v>1</v>
      </c>
      <c r="C21" s="497" t="s">
        <v>448</v>
      </c>
      <c r="D21" s="497"/>
      <c r="E21" s="498"/>
      <c r="F21" s="498"/>
      <c r="G21" s="498"/>
      <c r="H21" s="498"/>
      <c r="I21" s="499" t="s">
        <v>200</v>
      </c>
      <c r="J21" s="500">
        <f>'Annexure -II'!M7</f>
        <v>939972</v>
      </c>
      <c r="K21" s="501"/>
      <c r="L21" s="502"/>
      <c r="M21" s="501"/>
      <c r="N21" s="503"/>
      <c r="O21" s="504"/>
      <c r="P21" s="504"/>
      <c r="Q21" s="504"/>
      <c r="R21" s="504"/>
      <c r="S21" s="504"/>
      <c r="T21" s="504"/>
      <c r="U21" s="504"/>
      <c r="V21" s="504"/>
      <c r="W21" s="504"/>
      <c r="X21" s="504"/>
    </row>
    <row r="22" spans="2:24" ht="15" customHeight="1">
      <c r="B22" s="496"/>
      <c r="C22" s="505" t="s">
        <v>374</v>
      </c>
      <c r="D22" s="523" t="s">
        <v>449</v>
      </c>
      <c r="E22" s="523"/>
      <c r="F22" s="523"/>
      <c r="G22" s="523"/>
      <c r="H22" s="523"/>
      <c r="I22" s="507" t="s">
        <v>200</v>
      </c>
      <c r="J22" s="508">
        <v>0</v>
      </c>
      <c r="K22" s="501"/>
      <c r="L22" s="502"/>
      <c r="M22" s="501"/>
      <c r="N22" s="503"/>
      <c r="O22" s="504"/>
      <c r="P22" s="504"/>
      <c r="Q22" s="504"/>
      <c r="R22" s="504"/>
      <c r="S22" s="504"/>
      <c r="T22" s="504"/>
      <c r="U22" s="504"/>
      <c r="V22" s="504"/>
      <c r="W22" s="504"/>
      <c r="X22" s="504"/>
    </row>
    <row r="23" spans="2:24" ht="15" customHeight="1">
      <c r="B23" s="496"/>
      <c r="C23" s="505" t="s">
        <v>376</v>
      </c>
      <c r="D23" s="523" t="s">
        <v>450</v>
      </c>
      <c r="E23" s="523"/>
      <c r="F23" s="523"/>
      <c r="G23" s="523"/>
      <c r="H23" s="523"/>
      <c r="I23" s="507" t="s">
        <v>200</v>
      </c>
      <c r="J23" s="508">
        <v>0</v>
      </c>
      <c r="K23" s="501"/>
      <c r="L23" s="502"/>
      <c r="M23" s="501"/>
      <c r="N23" s="503"/>
      <c r="O23" s="504"/>
      <c r="P23" s="504"/>
      <c r="Q23" s="504"/>
      <c r="R23" s="504"/>
      <c r="S23" s="504"/>
      <c r="T23" s="504"/>
      <c r="U23" s="504"/>
      <c r="V23" s="504"/>
      <c r="W23" s="504"/>
      <c r="X23" s="504"/>
    </row>
    <row r="24" spans="2:24" ht="15" customHeight="1">
      <c r="B24" s="496"/>
      <c r="C24" s="505"/>
      <c r="D24" s="523" t="s">
        <v>451</v>
      </c>
      <c r="E24" s="523"/>
      <c r="F24" s="523"/>
      <c r="G24" s="523"/>
      <c r="H24" s="523"/>
      <c r="I24" s="509"/>
      <c r="J24" s="510"/>
      <c r="K24" s="501"/>
      <c r="L24" s="502"/>
      <c r="M24" s="501"/>
      <c r="N24" s="503"/>
      <c r="O24" s="504"/>
      <c r="P24" s="504"/>
      <c r="Q24" s="504"/>
      <c r="R24" s="504"/>
      <c r="S24" s="504"/>
      <c r="T24" s="504"/>
      <c r="U24" s="504"/>
      <c r="V24" s="504"/>
      <c r="W24" s="504"/>
      <c r="X24" s="504"/>
    </row>
    <row r="25" spans="2:30" ht="15" customHeight="1">
      <c r="B25" s="496"/>
      <c r="C25" s="505" t="s">
        <v>377</v>
      </c>
      <c r="D25" s="523" t="s">
        <v>452</v>
      </c>
      <c r="E25" s="523"/>
      <c r="F25" s="523"/>
      <c r="G25" s="523"/>
      <c r="H25" s="523"/>
      <c r="I25" s="499" t="s">
        <v>200</v>
      </c>
      <c r="J25" s="500">
        <v>0</v>
      </c>
      <c r="K25" s="501"/>
      <c r="L25" s="502"/>
      <c r="M25" s="501"/>
      <c r="N25" s="503"/>
      <c r="O25" s="504"/>
      <c r="P25" s="504"/>
      <c r="Q25" s="504"/>
      <c r="R25" s="504"/>
      <c r="S25" s="504"/>
      <c r="T25" s="504"/>
      <c r="U25" s="504"/>
      <c r="V25" s="504"/>
      <c r="W25" s="504"/>
      <c r="X25" s="504"/>
      <c r="AC25" s="511" t="s">
        <v>453</v>
      </c>
      <c r="AD25" s="512">
        <v>100000</v>
      </c>
    </row>
    <row r="26" spans="2:30" ht="15" customHeight="1">
      <c r="B26" s="496"/>
      <c r="C26" s="505"/>
      <c r="D26" s="523" t="s">
        <v>454</v>
      </c>
      <c r="E26" s="523"/>
      <c r="F26" s="523"/>
      <c r="G26" s="523"/>
      <c r="H26" s="523"/>
      <c r="I26" s="513"/>
      <c r="J26" s="514"/>
      <c r="K26" s="501"/>
      <c r="L26" s="502"/>
      <c r="M26" s="501"/>
      <c r="N26" s="503"/>
      <c r="O26" s="504"/>
      <c r="P26" s="504"/>
      <c r="Q26" s="504"/>
      <c r="R26" s="504"/>
      <c r="S26" s="504"/>
      <c r="T26" s="504"/>
      <c r="U26" s="504"/>
      <c r="V26" s="504"/>
      <c r="W26" s="504"/>
      <c r="X26" s="504"/>
      <c r="AC26" s="511" t="s">
        <v>16</v>
      </c>
      <c r="AD26" s="512">
        <v>100000</v>
      </c>
    </row>
    <row r="27" spans="2:30" ht="15">
      <c r="B27" s="496"/>
      <c r="C27" s="505" t="s">
        <v>388</v>
      </c>
      <c r="D27" s="515" t="s">
        <v>327</v>
      </c>
      <c r="E27" s="498"/>
      <c r="F27" s="498"/>
      <c r="G27" s="498"/>
      <c r="H27" s="498"/>
      <c r="I27" s="516" t="s">
        <v>200</v>
      </c>
      <c r="J27" s="517">
        <f>SUM(J21:J26)</f>
        <v>939972</v>
      </c>
      <c r="K27" s="501"/>
      <c r="L27" s="502"/>
      <c r="M27" s="501" t="s">
        <v>200</v>
      </c>
      <c r="N27" s="518">
        <f>J27</f>
        <v>939972</v>
      </c>
      <c r="O27" s="519"/>
      <c r="P27" s="519"/>
      <c r="Q27" s="519"/>
      <c r="R27" s="519"/>
      <c r="S27" s="519"/>
      <c r="T27" s="519"/>
      <c r="U27" s="519"/>
      <c r="V27" s="519"/>
      <c r="W27" s="519"/>
      <c r="X27" s="519"/>
      <c r="AC27" s="511" t="s">
        <v>455</v>
      </c>
      <c r="AD27" s="512">
        <v>100000</v>
      </c>
    </row>
    <row r="28" spans="2:30" ht="15.75" customHeight="1">
      <c r="B28" s="496">
        <v>2</v>
      </c>
      <c r="C28" s="589" t="s">
        <v>456</v>
      </c>
      <c r="D28" s="589"/>
      <c r="E28" s="589"/>
      <c r="F28" s="589"/>
      <c r="G28" s="589"/>
      <c r="H28" s="589"/>
      <c r="I28" s="516"/>
      <c r="J28" s="520"/>
      <c r="K28" s="521"/>
      <c r="L28" s="502"/>
      <c r="M28" s="501"/>
      <c r="N28" s="503"/>
      <c r="O28" s="504"/>
      <c r="P28" s="504"/>
      <c r="Q28" s="504"/>
      <c r="R28" s="504"/>
      <c r="S28" s="504"/>
      <c r="T28" s="504"/>
      <c r="U28" s="504"/>
      <c r="V28" s="504"/>
      <c r="W28" s="504"/>
      <c r="X28" s="504"/>
      <c r="AC28" s="522" t="s">
        <v>457</v>
      </c>
      <c r="AD28" s="512">
        <v>100000</v>
      </c>
    </row>
    <row r="29" spans="2:30" ht="15">
      <c r="B29" s="496"/>
      <c r="C29" s="505" t="s">
        <v>374</v>
      </c>
      <c r="D29" s="506" t="s">
        <v>458</v>
      </c>
      <c r="E29" s="506"/>
      <c r="F29" s="378"/>
      <c r="G29" s="378"/>
      <c r="H29" s="523"/>
      <c r="I29" s="524" t="s">
        <v>200</v>
      </c>
      <c r="J29" s="525">
        <f>'Annexure -II'!M11</f>
        <v>21956</v>
      </c>
      <c r="K29" s="521"/>
      <c r="L29" s="502"/>
      <c r="M29" s="501"/>
      <c r="N29" s="503"/>
      <c r="O29" s="504"/>
      <c r="P29" s="504"/>
      <c r="Q29" s="504"/>
      <c r="R29" s="504"/>
      <c r="S29" s="504"/>
      <c r="T29" s="504"/>
      <c r="U29" s="504"/>
      <c r="V29" s="504"/>
      <c r="W29" s="504"/>
      <c r="X29" s="504"/>
      <c r="AC29" s="511" t="s">
        <v>27</v>
      </c>
      <c r="AD29" s="512">
        <v>100000</v>
      </c>
    </row>
    <row r="30" spans="2:30" ht="15">
      <c r="B30" s="496"/>
      <c r="C30" s="505" t="s">
        <v>376</v>
      </c>
      <c r="D30" s="506" t="s">
        <v>459</v>
      </c>
      <c r="E30" s="506"/>
      <c r="F30" s="506"/>
      <c r="G30" s="378"/>
      <c r="H30" s="523"/>
      <c r="I30" s="524" t="s">
        <v>200</v>
      </c>
      <c r="J30" s="525">
        <f>'Annexure -II'!L14</f>
        <v>0</v>
      </c>
      <c r="K30" s="521"/>
      <c r="L30" s="502"/>
      <c r="M30" s="526" t="s">
        <v>200</v>
      </c>
      <c r="N30" s="527">
        <f>SUM(J29:J30)</f>
        <v>21956</v>
      </c>
      <c r="O30" s="504"/>
      <c r="P30" s="504"/>
      <c r="Q30" s="504"/>
      <c r="R30" s="504"/>
      <c r="S30" s="504"/>
      <c r="T30" s="504"/>
      <c r="U30" s="504"/>
      <c r="V30" s="504"/>
      <c r="W30" s="504"/>
      <c r="X30" s="504"/>
      <c r="AC30" s="511" t="s">
        <v>31</v>
      </c>
      <c r="AD30" s="512">
        <v>100000</v>
      </c>
    </row>
    <row r="31" spans="2:30" ht="15.75" customHeight="1">
      <c r="B31" s="496">
        <v>3</v>
      </c>
      <c r="C31" s="528" t="s">
        <v>460</v>
      </c>
      <c r="D31" s="528"/>
      <c r="E31" s="528"/>
      <c r="F31" s="528"/>
      <c r="G31" s="528"/>
      <c r="H31" s="528"/>
      <c r="I31" s="498"/>
      <c r="J31" s="520"/>
      <c r="K31" s="521"/>
      <c r="L31" s="502"/>
      <c r="M31" s="501" t="s">
        <v>200</v>
      </c>
      <c r="N31" s="518">
        <f>N27-N30</f>
        <v>918016</v>
      </c>
      <c r="O31" s="519"/>
      <c r="P31" s="519"/>
      <c r="Q31" s="519"/>
      <c r="R31" s="519"/>
      <c r="S31" s="519"/>
      <c r="T31" s="519"/>
      <c r="U31" s="519"/>
      <c r="V31" s="519"/>
      <c r="W31" s="519"/>
      <c r="X31" s="519"/>
      <c r="AC31" s="511" t="s">
        <v>35</v>
      </c>
      <c r="AD31" s="512">
        <v>100000</v>
      </c>
    </row>
    <row r="32" spans="2:30" ht="15.75" customHeight="1">
      <c r="B32" s="496">
        <v>4</v>
      </c>
      <c r="C32" s="528" t="s">
        <v>198</v>
      </c>
      <c r="D32" s="528"/>
      <c r="E32" s="528"/>
      <c r="F32" s="528"/>
      <c r="G32" s="528"/>
      <c r="H32" s="528"/>
      <c r="I32" s="498"/>
      <c r="J32" s="520"/>
      <c r="K32" s="521"/>
      <c r="L32" s="502"/>
      <c r="M32" s="501"/>
      <c r="N32" s="503"/>
      <c r="O32" s="504"/>
      <c r="P32" s="504"/>
      <c r="Q32" s="504"/>
      <c r="R32" s="504"/>
      <c r="S32" s="504"/>
      <c r="T32" s="504"/>
      <c r="U32" s="504"/>
      <c r="V32" s="504"/>
      <c r="W32" s="504"/>
      <c r="X32" s="504"/>
      <c r="AC32" s="511" t="s">
        <v>37</v>
      </c>
      <c r="AD32" s="512">
        <v>100000</v>
      </c>
    </row>
    <row r="33" spans="2:30" ht="9.75" customHeight="1">
      <c r="B33" s="496"/>
      <c r="C33" s="505" t="s">
        <v>374</v>
      </c>
      <c r="D33" s="506" t="s">
        <v>461</v>
      </c>
      <c r="E33" s="506"/>
      <c r="F33" s="378"/>
      <c r="G33" s="378"/>
      <c r="H33" s="529"/>
      <c r="I33" s="524" t="s">
        <v>200</v>
      </c>
      <c r="J33" s="525">
        <v>0</v>
      </c>
      <c r="K33" s="521"/>
      <c r="L33" s="502"/>
      <c r="M33" s="501"/>
      <c r="N33" s="503"/>
      <c r="O33" s="504"/>
      <c r="P33" s="504"/>
      <c r="Q33" s="504"/>
      <c r="R33" s="504"/>
      <c r="S33" s="504"/>
      <c r="T33" s="504"/>
      <c r="U33" s="504"/>
      <c r="V33" s="504"/>
      <c r="W33" s="504"/>
      <c r="X33" s="504"/>
      <c r="AC33" s="511" t="s">
        <v>40</v>
      </c>
      <c r="AD33" s="512">
        <v>100000</v>
      </c>
    </row>
    <row r="34" spans="2:30" ht="12.75" customHeight="1">
      <c r="B34" s="496"/>
      <c r="C34" s="505" t="s">
        <v>376</v>
      </c>
      <c r="D34" s="506" t="s">
        <v>508</v>
      </c>
      <c r="E34" s="506"/>
      <c r="F34" s="498"/>
      <c r="G34" s="378"/>
      <c r="H34" s="529"/>
      <c r="I34" s="524" t="s">
        <v>200</v>
      </c>
      <c r="J34" s="525">
        <f>'Annexure -II'!L15</f>
        <v>2400</v>
      </c>
      <c r="K34" s="521"/>
      <c r="L34" s="502"/>
      <c r="M34" s="501"/>
      <c r="N34" s="503"/>
      <c r="O34" s="504"/>
      <c r="P34" s="504"/>
      <c r="Q34" s="504"/>
      <c r="R34" s="504"/>
      <c r="S34" s="504"/>
      <c r="T34" s="504"/>
      <c r="U34" s="504"/>
      <c r="V34" s="504"/>
      <c r="W34" s="504"/>
      <c r="X34" s="504"/>
      <c r="AC34" s="511" t="s">
        <v>463</v>
      </c>
      <c r="AD34" s="512">
        <v>100000</v>
      </c>
    </row>
    <row r="35" spans="2:30" ht="13.5" customHeight="1">
      <c r="B35" s="496">
        <v>5</v>
      </c>
      <c r="C35" s="528" t="s">
        <v>464</v>
      </c>
      <c r="D35" s="528"/>
      <c r="E35" s="528"/>
      <c r="F35" s="528"/>
      <c r="G35" s="528"/>
      <c r="H35" s="528"/>
      <c r="I35" s="516"/>
      <c r="J35" s="517"/>
      <c r="K35" s="501"/>
      <c r="L35" s="502"/>
      <c r="M35" s="526" t="s">
        <v>200</v>
      </c>
      <c r="N35" s="527">
        <f>SUM(J33:J34)</f>
        <v>2400</v>
      </c>
      <c r="O35" s="504"/>
      <c r="P35" s="504"/>
      <c r="Q35" s="504"/>
      <c r="R35" s="504"/>
      <c r="S35" s="504"/>
      <c r="T35" s="504"/>
      <c r="U35" s="504"/>
      <c r="V35" s="504"/>
      <c r="W35" s="504"/>
      <c r="X35" s="504"/>
      <c r="AC35" s="511" t="s">
        <v>43</v>
      </c>
      <c r="AD35" s="512">
        <v>100000</v>
      </c>
    </row>
    <row r="36" spans="2:30" ht="15.75" customHeight="1">
      <c r="B36" s="496">
        <v>6</v>
      </c>
      <c r="C36" s="589" t="s">
        <v>465</v>
      </c>
      <c r="D36" s="589"/>
      <c r="E36" s="589"/>
      <c r="F36" s="589"/>
      <c r="G36" s="589"/>
      <c r="H36" s="589"/>
      <c r="I36" s="516"/>
      <c r="J36" s="517"/>
      <c r="K36" s="501"/>
      <c r="L36" s="502"/>
      <c r="M36" s="530" t="s">
        <v>200</v>
      </c>
      <c r="N36" s="531">
        <f>N31-N35</f>
        <v>915616</v>
      </c>
      <c r="O36" s="519"/>
      <c r="P36" s="519"/>
      <c r="Q36" s="519"/>
      <c r="R36" s="519"/>
      <c r="S36" s="519"/>
      <c r="T36" s="519"/>
      <c r="U36" s="519"/>
      <c r="V36" s="519"/>
      <c r="W36" s="519"/>
      <c r="X36" s="519"/>
      <c r="AC36" s="511" t="s">
        <v>50</v>
      </c>
      <c r="AD36" s="512">
        <v>10000</v>
      </c>
    </row>
    <row r="37" spans="2:24" ht="15" customHeight="1">
      <c r="B37" s="496">
        <v>7</v>
      </c>
      <c r="C37" s="589" t="s">
        <v>466</v>
      </c>
      <c r="D37" s="589"/>
      <c r="E37" s="589"/>
      <c r="F37" s="589"/>
      <c r="G37" s="589"/>
      <c r="H37" s="589"/>
      <c r="I37" s="516"/>
      <c r="J37" s="517"/>
      <c r="K37" s="501"/>
      <c r="L37" s="502"/>
      <c r="M37" s="532" t="s">
        <v>200</v>
      </c>
      <c r="N37" s="533">
        <f>'Annexure -II'!L17</f>
        <v>0</v>
      </c>
      <c r="O37" s="504"/>
      <c r="P37" s="504"/>
      <c r="Q37" s="504"/>
      <c r="R37" s="504"/>
      <c r="S37" s="504"/>
      <c r="T37" s="504"/>
      <c r="U37" s="504"/>
      <c r="V37" s="504"/>
      <c r="W37" s="504"/>
      <c r="X37" s="504"/>
    </row>
    <row r="38" spans="2:24" ht="15" customHeight="1">
      <c r="B38" s="496"/>
      <c r="C38" s="589" t="s">
        <v>467</v>
      </c>
      <c r="D38" s="589"/>
      <c r="E38" s="589"/>
      <c r="F38" s="589"/>
      <c r="G38" s="589"/>
      <c r="H38" s="589"/>
      <c r="I38" s="516"/>
      <c r="J38" s="517"/>
      <c r="K38" s="501"/>
      <c r="L38" s="502"/>
      <c r="M38" s="532" t="s">
        <v>200</v>
      </c>
      <c r="N38" s="533">
        <f>'Annexure -II'!L18</f>
        <v>0</v>
      </c>
      <c r="O38" s="504"/>
      <c r="P38" s="504"/>
      <c r="Q38" s="504"/>
      <c r="R38" s="504"/>
      <c r="S38" s="504"/>
      <c r="T38" s="504"/>
      <c r="U38" s="504"/>
      <c r="V38" s="504"/>
      <c r="W38" s="504"/>
      <c r="X38" s="504"/>
    </row>
    <row r="39" spans="2:24" ht="15" customHeight="1">
      <c r="B39" s="496"/>
      <c r="C39" s="505">
        <f>'Annexure -II'!C20:I20</f>
        <v>0</v>
      </c>
      <c r="D39" s="498"/>
      <c r="E39" s="498"/>
      <c r="F39" s="498"/>
      <c r="G39" s="498"/>
      <c r="H39" s="529"/>
      <c r="I39" s="516"/>
      <c r="J39" s="517"/>
      <c r="K39" s="501"/>
      <c r="L39" s="502"/>
      <c r="M39" s="532" t="s">
        <v>200</v>
      </c>
      <c r="N39" s="533">
        <f>'Annexure -II'!L20</f>
        <v>77640</v>
      </c>
      <c r="O39" s="504"/>
      <c r="P39" s="504"/>
      <c r="Q39" s="504"/>
      <c r="R39" s="504"/>
      <c r="S39" s="504"/>
      <c r="T39" s="504"/>
      <c r="U39" s="504"/>
      <c r="V39" s="504"/>
      <c r="W39" s="504"/>
      <c r="X39" s="504"/>
    </row>
    <row r="40" spans="2:24" ht="15" customHeight="1">
      <c r="B40" s="496"/>
      <c r="C40" s="590">
        <f>'Annexure -II'!C21</f>
        <v>0</v>
      </c>
      <c r="D40" s="590"/>
      <c r="E40" s="590"/>
      <c r="F40" s="590"/>
      <c r="G40" s="590"/>
      <c r="H40" s="590"/>
      <c r="I40" s="516"/>
      <c r="J40" s="517"/>
      <c r="K40" s="501"/>
      <c r="L40" s="502"/>
      <c r="M40" s="534" t="s">
        <v>200</v>
      </c>
      <c r="N40" s="535">
        <f>DATA!M29</f>
        <v>0</v>
      </c>
      <c r="O40" s="504"/>
      <c r="P40" s="504"/>
      <c r="Q40" s="504"/>
      <c r="R40" s="504"/>
      <c r="S40" s="504"/>
      <c r="T40" s="504"/>
      <c r="U40" s="504"/>
      <c r="V40" s="504"/>
      <c r="W40" s="504"/>
      <c r="X40" s="504"/>
    </row>
    <row r="41" spans="2:24" ht="15.75" customHeight="1">
      <c r="B41" s="496">
        <v>8</v>
      </c>
      <c r="C41" s="497" t="s">
        <v>469</v>
      </c>
      <c r="D41" s="497"/>
      <c r="E41" s="497"/>
      <c r="F41" s="536"/>
      <c r="G41" s="536"/>
      <c r="H41" s="498"/>
      <c r="I41" s="516"/>
      <c r="J41" s="517"/>
      <c r="K41" s="501"/>
      <c r="L41" s="502"/>
      <c r="M41" s="501" t="s">
        <v>200</v>
      </c>
      <c r="N41" s="518">
        <f>SUM(N36:N40)</f>
        <v>993256</v>
      </c>
      <c r="O41" s="519"/>
      <c r="P41" s="519"/>
      <c r="Q41" s="519"/>
      <c r="R41" s="519"/>
      <c r="S41" s="519"/>
      <c r="T41" s="519"/>
      <c r="U41" s="519"/>
      <c r="V41" s="519"/>
      <c r="W41" s="519"/>
      <c r="X41" s="519"/>
    </row>
    <row r="42" spans="2:24" ht="15.75" customHeight="1">
      <c r="B42" s="496">
        <v>9</v>
      </c>
      <c r="C42" s="497" t="s">
        <v>470</v>
      </c>
      <c r="D42" s="497"/>
      <c r="E42" s="497"/>
      <c r="F42" s="497"/>
      <c r="G42" s="497"/>
      <c r="H42" s="498"/>
      <c r="I42" s="516"/>
      <c r="J42" s="537"/>
      <c r="K42" s="501"/>
      <c r="L42" s="502"/>
      <c r="M42" s="501"/>
      <c r="N42" s="503"/>
      <c r="O42" s="504"/>
      <c r="P42" s="504"/>
      <c r="Q42" s="504"/>
      <c r="R42" s="504"/>
      <c r="S42" s="504"/>
      <c r="T42" s="504"/>
      <c r="U42" s="504"/>
      <c r="V42" s="504"/>
      <c r="W42" s="504"/>
      <c r="X42" s="504"/>
    </row>
    <row r="43" spans="2:24" ht="14.25" customHeight="1">
      <c r="B43" s="538" t="s">
        <v>471</v>
      </c>
      <c r="C43" s="539" t="s">
        <v>472</v>
      </c>
      <c r="D43" s="539"/>
      <c r="E43" s="539"/>
      <c r="F43" s="540"/>
      <c r="G43" s="463" t="s">
        <v>473</v>
      </c>
      <c r="H43" s="506"/>
      <c r="I43" s="541" t="s">
        <v>474</v>
      </c>
      <c r="J43" s="541"/>
      <c r="K43" s="541" t="s">
        <v>475</v>
      </c>
      <c r="L43" s="541"/>
      <c r="M43" s="498"/>
      <c r="N43" s="503"/>
      <c r="O43" s="542"/>
      <c r="P43" s="542"/>
      <c r="Q43" s="542"/>
      <c r="R43" s="542"/>
      <c r="S43" s="542"/>
      <c r="T43" s="542"/>
      <c r="U43" s="542"/>
      <c r="V43" s="542"/>
      <c r="W43" s="542"/>
      <c r="X43" s="542"/>
    </row>
    <row r="44" spans="2:24" ht="14.25" customHeight="1">
      <c r="B44" s="496"/>
      <c r="C44" s="497" t="s">
        <v>374</v>
      </c>
      <c r="D44" s="540" t="s">
        <v>476</v>
      </c>
      <c r="E44" s="543"/>
      <c r="F44" s="543"/>
      <c r="G44" s="463" t="s">
        <v>197</v>
      </c>
      <c r="H44" s="506"/>
      <c r="I44" s="505"/>
      <c r="J44" s="523" t="s">
        <v>197</v>
      </c>
      <c r="K44" s="506"/>
      <c r="L44" s="523" t="s">
        <v>197</v>
      </c>
      <c r="M44" s="498"/>
      <c r="N44" s="503"/>
      <c r="O44" s="542"/>
      <c r="P44" s="542"/>
      <c r="Q44" s="542"/>
      <c r="R44" s="542"/>
      <c r="S44" s="542"/>
      <c r="T44" s="542"/>
      <c r="U44" s="542"/>
      <c r="V44" s="542"/>
      <c r="W44" s="542"/>
      <c r="X44" s="542"/>
    </row>
    <row r="45" spans="2:26" ht="13.5" customHeight="1">
      <c r="B45" s="496"/>
      <c r="C45" s="591" t="s">
        <v>477</v>
      </c>
      <c r="D45" s="551" t="s">
        <v>509</v>
      </c>
      <c r="E45" s="551"/>
      <c r="F45" s="545" t="s">
        <v>200</v>
      </c>
      <c r="G45" s="525">
        <f>IF(DATA!AA34&lt;3,'Annexure -I'!O23,0)</f>
        <v>0</v>
      </c>
      <c r="H45" s="545"/>
      <c r="I45" s="532" t="s">
        <v>200</v>
      </c>
      <c r="J45" s="508">
        <f aca="true" t="shared" si="0" ref="J45:J56">IF(G45&gt;150001,150000,G45)</f>
        <v>0</v>
      </c>
      <c r="K45" s="545" t="s">
        <v>200</v>
      </c>
      <c r="L45" s="508">
        <f aca="true" t="shared" si="1" ref="L45:L56">J45</f>
        <v>0</v>
      </c>
      <c r="M45" s="501"/>
      <c r="N45" s="503"/>
      <c r="O45" s="504"/>
      <c r="P45" s="504"/>
      <c r="Q45" s="504"/>
      <c r="R45" s="504"/>
      <c r="S45" s="504"/>
      <c r="T45" s="504"/>
      <c r="U45" s="504"/>
      <c r="V45" s="504"/>
      <c r="W45" s="504"/>
      <c r="X45" s="504"/>
      <c r="Z45" s="546">
        <v>150000</v>
      </c>
    </row>
    <row r="46" spans="2:26" ht="13.5" customHeight="1">
      <c r="B46" s="496"/>
      <c r="C46" s="591" t="s">
        <v>479</v>
      </c>
      <c r="D46" s="501" t="s">
        <v>480</v>
      </c>
      <c r="E46" s="501"/>
      <c r="F46" s="545" t="s">
        <v>200</v>
      </c>
      <c r="G46" s="525">
        <f>'Annexure -II'!L37</f>
        <v>12000</v>
      </c>
      <c r="H46" s="545"/>
      <c r="I46" s="532" t="s">
        <v>200</v>
      </c>
      <c r="J46" s="508">
        <f t="shared" si="0"/>
        <v>12000</v>
      </c>
      <c r="K46" s="545" t="s">
        <v>200</v>
      </c>
      <c r="L46" s="508">
        <f t="shared" si="1"/>
        <v>12000</v>
      </c>
      <c r="M46" s="501"/>
      <c r="N46" s="503"/>
      <c r="O46" s="504"/>
      <c r="P46" s="504"/>
      <c r="Q46" s="504"/>
      <c r="R46" s="504"/>
      <c r="S46" s="504"/>
      <c r="T46" s="504"/>
      <c r="U46" s="504"/>
      <c r="V46" s="504"/>
      <c r="W46" s="504"/>
      <c r="X46" s="504"/>
      <c r="Z46" s="546">
        <v>150000</v>
      </c>
    </row>
    <row r="47" spans="2:26" ht="13.5" customHeight="1">
      <c r="B47" s="496"/>
      <c r="C47" s="591" t="s">
        <v>481</v>
      </c>
      <c r="D47" s="501" t="s">
        <v>482</v>
      </c>
      <c r="E47" s="501"/>
      <c r="F47" s="545" t="s">
        <v>200</v>
      </c>
      <c r="G47" s="525">
        <f>'Annexure -II'!L38</f>
        <v>720</v>
      </c>
      <c r="H47" s="545"/>
      <c r="I47" s="532" t="s">
        <v>200</v>
      </c>
      <c r="J47" s="508">
        <f t="shared" si="0"/>
        <v>720</v>
      </c>
      <c r="K47" s="545" t="s">
        <v>200</v>
      </c>
      <c r="L47" s="508">
        <f t="shared" si="1"/>
        <v>720</v>
      </c>
      <c r="M47" s="501"/>
      <c r="N47" s="503"/>
      <c r="O47" s="504"/>
      <c r="P47" s="504"/>
      <c r="Q47" s="504"/>
      <c r="R47" s="504"/>
      <c r="S47" s="504"/>
      <c r="T47" s="504"/>
      <c r="U47" s="504"/>
      <c r="V47" s="504"/>
      <c r="W47" s="504"/>
      <c r="X47" s="504"/>
      <c r="Z47" s="546">
        <v>150000</v>
      </c>
    </row>
    <row r="48" spans="2:26" ht="13.5" customHeight="1">
      <c r="B48" s="496"/>
      <c r="C48" s="591" t="s">
        <v>483</v>
      </c>
      <c r="D48" s="501" t="s">
        <v>484</v>
      </c>
      <c r="E48" s="501"/>
      <c r="F48" s="545" t="s">
        <v>200</v>
      </c>
      <c r="G48" s="525">
        <f>'Annexure -II'!L39</f>
        <v>0</v>
      </c>
      <c r="H48" s="545"/>
      <c r="I48" s="532" t="s">
        <v>200</v>
      </c>
      <c r="J48" s="508">
        <f t="shared" si="0"/>
        <v>0</v>
      </c>
      <c r="K48" s="545" t="s">
        <v>200</v>
      </c>
      <c r="L48" s="508">
        <f t="shared" si="1"/>
        <v>0</v>
      </c>
      <c r="M48" s="501"/>
      <c r="N48" s="503"/>
      <c r="O48" s="504"/>
      <c r="P48" s="504"/>
      <c r="Q48" s="504"/>
      <c r="R48" s="504"/>
      <c r="S48" s="504"/>
      <c r="T48" s="504"/>
      <c r="U48" s="504"/>
      <c r="V48" s="504"/>
      <c r="W48" s="504"/>
      <c r="X48" s="504"/>
      <c r="Z48" s="546">
        <v>150000</v>
      </c>
    </row>
    <row r="49" spans="2:26" ht="13.5" customHeight="1">
      <c r="B49" s="496"/>
      <c r="C49" s="591" t="s">
        <v>485</v>
      </c>
      <c r="D49" s="501">
        <f>'Annexure -II'!D40:I40</f>
        <v>0</v>
      </c>
      <c r="E49" s="501"/>
      <c r="F49" s="545" t="s">
        <v>200</v>
      </c>
      <c r="G49" s="525">
        <f>'Annexure -II'!L40</f>
        <v>70000</v>
      </c>
      <c r="H49" s="545"/>
      <c r="I49" s="532" t="s">
        <v>200</v>
      </c>
      <c r="J49" s="508">
        <f t="shared" si="0"/>
        <v>70000</v>
      </c>
      <c r="K49" s="545" t="s">
        <v>200</v>
      </c>
      <c r="L49" s="508">
        <f t="shared" si="1"/>
        <v>70000</v>
      </c>
      <c r="M49" s="501"/>
      <c r="N49" s="503"/>
      <c r="O49" s="504"/>
      <c r="P49" s="504"/>
      <c r="Q49" s="504"/>
      <c r="R49" s="504"/>
      <c r="S49" s="504"/>
      <c r="T49" s="504"/>
      <c r="U49" s="504"/>
      <c r="V49" s="504"/>
      <c r="W49" s="504"/>
      <c r="X49" s="504"/>
      <c r="Z49" s="546">
        <v>150000</v>
      </c>
    </row>
    <row r="50" spans="2:26" ht="13.5" customHeight="1">
      <c r="B50" s="496"/>
      <c r="C50" s="591" t="s">
        <v>486</v>
      </c>
      <c r="D50" s="501">
        <f>'Annexure -II'!D41:I41</f>
        <v>0</v>
      </c>
      <c r="E50" s="501"/>
      <c r="F50" s="545" t="s">
        <v>200</v>
      </c>
      <c r="G50" s="525">
        <f>'Annexure -II'!L41</f>
        <v>0</v>
      </c>
      <c r="H50" s="545"/>
      <c r="I50" s="532" t="s">
        <v>200</v>
      </c>
      <c r="J50" s="508">
        <f t="shared" si="0"/>
        <v>0</v>
      </c>
      <c r="K50" s="545" t="s">
        <v>200</v>
      </c>
      <c r="L50" s="508">
        <f t="shared" si="1"/>
        <v>0</v>
      </c>
      <c r="M50" s="501"/>
      <c r="N50" s="503"/>
      <c r="O50" s="504"/>
      <c r="P50" s="504"/>
      <c r="Q50" s="504"/>
      <c r="R50" s="504"/>
      <c r="S50" s="504"/>
      <c r="T50" s="504"/>
      <c r="U50" s="504"/>
      <c r="V50" s="504"/>
      <c r="W50" s="504"/>
      <c r="X50" s="504"/>
      <c r="Z50" s="546">
        <v>150000</v>
      </c>
    </row>
    <row r="51" spans="2:26" ht="13.5" customHeight="1">
      <c r="B51" s="496"/>
      <c r="C51" s="591" t="s">
        <v>487</v>
      </c>
      <c r="D51" s="501">
        <f>'Annexure -II'!D42:I42</f>
        <v>0</v>
      </c>
      <c r="E51" s="501"/>
      <c r="F51" s="545" t="s">
        <v>200</v>
      </c>
      <c r="G51" s="525">
        <f>'Annexure -II'!L42</f>
        <v>0</v>
      </c>
      <c r="H51" s="545"/>
      <c r="I51" s="532" t="s">
        <v>200</v>
      </c>
      <c r="J51" s="508">
        <f t="shared" si="0"/>
        <v>0</v>
      </c>
      <c r="K51" s="545" t="s">
        <v>200</v>
      </c>
      <c r="L51" s="508">
        <f t="shared" si="1"/>
        <v>0</v>
      </c>
      <c r="M51" s="501"/>
      <c r="N51" s="503"/>
      <c r="O51" s="504"/>
      <c r="P51" s="504"/>
      <c r="Q51" s="504"/>
      <c r="R51" s="504"/>
      <c r="S51" s="504"/>
      <c r="T51" s="504"/>
      <c r="U51" s="504"/>
      <c r="V51" s="504"/>
      <c r="W51" s="504"/>
      <c r="X51" s="504"/>
      <c r="Z51" s="546">
        <v>150000</v>
      </c>
    </row>
    <row r="52" spans="2:26" ht="13.5" customHeight="1">
      <c r="B52" s="496"/>
      <c r="C52" s="592" t="s">
        <v>488</v>
      </c>
      <c r="D52" s="501">
        <f>'Annexure -II'!D43:I43</f>
        <v>0</v>
      </c>
      <c r="E52" s="501"/>
      <c r="F52" s="545" t="s">
        <v>200</v>
      </c>
      <c r="G52" s="525">
        <f>'Annexure -II'!L43</f>
        <v>0</v>
      </c>
      <c r="H52" s="545"/>
      <c r="I52" s="532" t="s">
        <v>200</v>
      </c>
      <c r="J52" s="508">
        <f t="shared" si="0"/>
        <v>0</v>
      </c>
      <c r="K52" s="545" t="s">
        <v>200</v>
      </c>
      <c r="L52" s="508">
        <f t="shared" si="1"/>
        <v>0</v>
      </c>
      <c r="M52" s="521"/>
      <c r="N52" s="503"/>
      <c r="O52" s="504"/>
      <c r="P52" s="504"/>
      <c r="Q52" s="504"/>
      <c r="R52" s="504"/>
      <c r="S52" s="504"/>
      <c r="T52" s="504"/>
      <c r="U52" s="504"/>
      <c r="V52" s="504"/>
      <c r="W52" s="504"/>
      <c r="X52" s="504"/>
      <c r="Z52" s="546">
        <v>150000</v>
      </c>
    </row>
    <row r="53" spans="2:26" ht="13.5" customHeight="1">
      <c r="B53" s="496"/>
      <c r="C53" s="591" t="s">
        <v>489</v>
      </c>
      <c r="D53" s="501">
        <f>'Annexure -II'!D44:I44</f>
        <v>0</v>
      </c>
      <c r="E53" s="501"/>
      <c r="F53" s="548" t="s">
        <v>200</v>
      </c>
      <c r="G53" s="525">
        <f>'Annexure -II'!L44</f>
        <v>0</v>
      </c>
      <c r="H53" s="549"/>
      <c r="I53" s="550" t="s">
        <v>200</v>
      </c>
      <c r="J53" s="508">
        <f t="shared" si="0"/>
        <v>0</v>
      </c>
      <c r="K53" s="548" t="s">
        <v>200</v>
      </c>
      <c r="L53" s="508">
        <f t="shared" si="1"/>
        <v>0</v>
      </c>
      <c r="M53" s="521"/>
      <c r="N53" s="503"/>
      <c r="O53" s="504"/>
      <c r="P53" s="504"/>
      <c r="Q53" s="504"/>
      <c r="R53" s="504"/>
      <c r="S53" s="504"/>
      <c r="T53" s="504"/>
      <c r="U53" s="504"/>
      <c r="V53" s="504"/>
      <c r="W53" s="504"/>
      <c r="X53" s="504"/>
      <c r="Z53" s="546">
        <v>150000</v>
      </c>
    </row>
    <row r="54" spans="2:26" ht="13.5" customHeight="1">
      <c r="B54" s="496"/>
      <c r="C54" s="591" t="s">
        <v>490</v>
      </c>
      <c r="D54" s="501">
        <f>'Annexure -II'!D45:I45</f>
        <v>0</v>
      </c>
      <c r="E54" s="501"/>
      <c r="F54" s="548" t="s">
        <v>200</v>
      </c>
      <c r="G54" s="525">
        <f>'Annexure -II'!L45</f>
        <v>0</v>
      </c>
      <c r="H54" s="549"/>
      <c r="I54" s="521" t="s">
        <v>200</v>
      </c>
      <c r="J54" s="508">
        <f t="shared" si="0"/>
        <v>0</v>
      </c>
      <c r="K54" s="521" t="s">
        <v>200</v>
      </c>
      <c r="L54" s="508">
        <f t="shared" si="1"/>
        <v>0</v>
      </c>
      <c r="M54" s="521"/>
      <c r="N54" s="503"/>
      <c r="O54" s="504"/>
      <c r="P54" s="504"/>
      <c r="Q54" s="504"/>
      <c r="R54" s="504"/>
      <c r="S54" s="504"/>
      <c r="T54" s="504"/>
      <c r="U54" s="504"/>
      <c r="V54" s="504"/>
      <c r="W54" s="504"/>
      <c r="X54" s="504"/>
      <c r="Z54" s="546">
        <v>150000</v>
      </c>
    </row>
    <row r="55" spans="2:26" ht="13.5" customHeight="1">
      <c r="B55" s="496"/>
      <c r="C55" s="591" t="s">
        <v>492</v>
      </c>
      <c r="D55" s="501">
        <f>'Annexure -II'!D46:I46</f>
        <v>0</v>
      </c>
      <c r="E55" s="501"/>
      <c r="F55" s="501" t="s">
        <v>200</v>
      </c>
      <c r="G55" s="525">
        <f>'Annexure -II'!L46</f>
        <v>0</v>
      </c>
      <c r="H55" s="552"/>
      <c r="I55" s="521" t="s">
        <v>200</v>
      </c>
      <c r="J55" s="508">
        <f t="shared" si="0"/>
        <v>0</v>
      </c>
      <c r="K55" s="521" t="s">
        <v>200</v>
      </c>
      <c r="L55" s="508">
        <f t="shared" si="1"/>
        <v>0</v>
      </c>
      <c r="M55" s="521"/>
      <c r="N55" s="503"/>
      <c r="O55" s="504"/>
      <c r="P55" s="504"/>
      <c r="Q55" s="504"/>
      <c r="R55" s="504"/>
      <c r="S55" s="504"/>
      <c r="T55" s="504"/>
      <c r="U55" s="504"/>
      <c r="V55" s="504"/>
      <c r="W55" s="504"/>
      <c r="X55" s="504"/>
      <c r="Y55" s="553">
        <f>SUM(G45:G56)</f>
        <v>82720</v>
      </c>
      <c r="Z55" s="546">
        <v>20000</v>
      </c>
    </row>
    <row r="56" spans="2:26" ht="13.5" customHeight="1">
      <c r="B56" s="496"/>
      <c r="C56" s="591" t="s">
        <v>493</v>
      </c>
      <c r="D56" s="501">
        <f>'Annexure -II'!D47:I47</f>
        <v>0</v>
      </c>
      <c r="E56" s="501"/>
      <c r="F56" s="501" t="s">
        <v>200</v>
      </c>
      <c r="G56" s="525">
        <f>'Annexure -II'!L47</f>
        <v>0</v>
      </c>
      <c r="H56" s="501"/>
      <c r="I56" s="521" t="s">
        <v>200</v>
      </c>
      <c r="J56" s="508">
        <f t="shared" si="0"/>
        <v>0</v>
      </c>
      <c r="K56" s="521" t="s">
        <v>200</v>
      </c>
      <c r="L56" s="508">
        <f t="shared" si="1"/>
        <v>0</v>
      </c>
      <c r="M56" s="521"/>
      <c r="N56" s="503"/>
      <c r="O56" s="504"/>
      <c r="P56" s="504"/>
      <c r="Q56" s="504"/>
      <c r="R56" s="504"/>
      <c r="S56" s="504"/>
      <c r="T56" s="504"/>
      <c r="U56" s="504"/>
      <c r="V56" s="504"/>
      <c r="W56" s="504"/>
      <c r="X56" s="504"/>
      <c r="Y56" s="553"/>
      <c r="Z56" s="546"/>
    </row>
    <row r="57" spans="2:26" ht="15">
      <c r="B57" s="496"/>
      <c r="C57" s="521"/>
      <c r="D57" s="501"/>
      <c r="E57" s="501"/>
      <c r="F57" s="501"/>
      <c r="G57" s="520"/>
      <c r="H57" s="501"/>
      <c r="I57" s="554" t="s">
        <v>494</v>
      </c>
      <c r="J57" s="554"/>
      <c r="K57" s="554"/>
      <c r="L57" s="554"/>
      <c r="M57" s="555" t="s">
        <v>200</v>
      </c>
      <c r="N57" s="518">
        <f>SUM(L45:L56)</f>
        <v>82720</v>
      </c>
      <c r="O57" s="519"/>
      <c r="P57" s="519"/>
      <c r="Q57" s="519"/>
      <c r="R57" s="519"/>
      <c r="S57" s="519"/>
      <c r="T57" s="519"/>
      <c r="U57" s="519"/>
      <c r="V57" s="519"/>
      <c r="W57" s="519"/>
      <c r="X57" s="519"/>
      <c r="Y57" s="556">
        <v>150000</v>
      </c>
      <c r="Z57" s="557">
        <f>SUM(L45:L56)</f>
        <v>82720</v>
      </c>
    </row>
    <row r="58" spans="2:24" ht="14.25" customHeight="1">
      <c r="B58" s="496"/>
      <c r="C58" s="558" t="s">
        <v>376</v>
      </c>
      <c r="D58" s="559" t="s">
        <v>495</v>
      </c>
      <c r="E58" s="501"/>
      <c r="F58" s="501"/>
      <c r="G58" s="520"/>
      <c r="H58" s="501"/>
      <c r="I58" s="521"/>
      <c r="J58" s="560"/>
      <c r="K58" s="501"/>
      <c r="L58" s="560"/>
      <c r="M58" s="501"/>
      <c r="N58" s="503"/>
      <c r="O58" s="504"/>
      <c r="P58" s="504"/>
      <c r="Q58" s="504"/>
      <c r="R58" s="504"/>
      <c r="S58" s="504"/>
      <c r="T58" s="504"/>
      <c r="U58" s="504"/>
      <c r="V58" s="504"/>
      <c r="W58" s="504"/>
      <c r="X58" s="504"/>
    </row>
    <row r="59" spans="2:28" ht="15" customHeight="1">
      <c r="B59" s="496"/>
      <c r="C59" s="547" t="s">
        <v>477</v>
      </c>
      <c r="D59" s="501"/>
      <c r="E59" s="501"/>
      <c r="F59" s="545" t="s">
        <v>200</v>
      </c>
      <c r="G59" s="525"/>
      <c r="H59" s="545"/>
      <c r="I59" s="532" t="s">
        <v>200</v>
      </c>
      <c r="J59" s="508">
        <v>0</v>
      </c>
      <c r="K59" s="545" t="s">
        <v>200</v>
      </c>
      <c r="L59" s="508">
        <v>0</v>
      </c>
      <c r="M59" s="561" t="s">
        <v>200</v>
      </c>
      <c r="N59" s="562">
        <v>0</v>
      </c>
      <c r="O59" s="519"/>
      <c r="P59" s="519"/>
      <c r="Q59" s="519"/>
      <c r="R59" s="519"/>
      <c r="S59" s="519"/>
      <c r="T59" s="519"/>
      <c r="U59" s="519"/>
      <c r="V59" s="519"/>
      <c r="W59" s="519"/>
      <c r="X59" s="519"/>
      <c r="Z59" s="546">
        <v>10000</v>
      </c>
      <c r="AB59" s="563">
        <f>N57+N59+N61</f>
        <v>150000</v>
      </c>
    </row>
    <row r="60" spans="2:28" ht="14.25" customHeight="1">
      <c r="B60" s="496"/>
      <c r="C60" s="558" t="s">
        <v>377</v>
      </c>
      <c r="D60" s="559" t="s">
        <v>496</v>
      </c>
      <c r="E60" s="501"/>
      <c r="F60" s="501"/>
      <c r="G60" s="520"/>
      <c r="H60" s="501"/>
      <c r="I60" s="521"/>
      <c r="J60" s="517"/>
      <c r="K60" s="501"/>
      <c r="L60" s="517"/>
      <c r="M60" s="501"/>
      <c r="N60" s="503"/>
      <c r="O60" s="504"/>
      <c r="P60" s="504"/>
      <c r="Q60" s="504"/>
      <c r="R60" s="504"/>
      <c r="S60" s="504"/>
      <c r="T60" s="504"/>
      <c r="U60" s="504"/>
      <c r="V60" s="504"/>
      <c r="W60" s="504"/>
      <c r="X60" s="504"/>
      <c r="AB60" s="564"/>
    </row>
    <row r="61" spans="2:28" ht="15" customHeight="1">
      <c r="B61" s="496"/>
      <c r="C61" s="547" t="s">
        <v>477</v>
      </c>
      <c r="D61" s="501" t="s">
        <v>497</v>
      </c>
      <c r="E61" s="501"/>
      <c r="F61" s="545" t="s">
        <v>200</v>
      </c>
      <c r="G61" s="525">
        <f>IF(DATA!$AA$34=3,'Annexure -II'!L36,0)</f>
        <v>67280</v>
      </c>
      <c r="H61" s="545"/>
      <c r="I61" s="532" t="s">
        <v>200</v>
      </c>
      <c r="J61" s="508">
        <f>IF(G61&gt;150001,150000,G61)</f>
        <v>67280</v>
      </c>
      <c r="K61" s="545" t="s">
        <v>200</v>
      </c>
      <c r="L61" s="508">
        <f>J61</f>
        <v>67280</v>
      </c>
      <c r="M61" s="565" t="s">
        <v>200</v>
      </c>
      <c r="N61" s="566">
        <f>L61</f>
        <v>67280</v>
      </c>
      <c r="O61" s="519"/>
      <c r="P61" s="519"/>
      <c r="Q61" s="519"/>
      <c r="R61" s="519"/>
      <c r="S61" s="519"/>
      <c r="T61" s="519"/>
      <c r="U61" s="519"/>
      <c r="V61" s="519"/>
      <c r="W61" s="519"/>
      <c r="X61" s="519"/>
      <c r="Z61" s="546">
        <v>100000</v>
      </c>
      <c r="AB61" s="435"/>
    </row>
    <row r="62" spans="2:28" ht="14.25" customHeight="1">
      <c r="B62" s="496"/>
      <c r="C62" s="567" t="s">
        <v>510</v>
      </c>
      <c r="D62" s="567"/>
      <c r="E62" s="567"/>
      <c r="F62" s="567"/>
      <c r="G62" s="567"/>
      <c r="H62" s="567"/>
      <c r="I62" s="567"/>
      <c r="J62" s="567"/>
      <c r="K62" s="567"/>
      <c r="L62" s="567"/>
      <c r="M62" s="568" t="s">
        <v>200</v>
      </c>
      <c r="N62" s="569">
        <f>IF(N57+N61&gt;=150000,150000,N57+N61)</f>
        <v>150000</v>
      </c>
      <c r="O62" s="519"/>
      <c r="P62" s="519"/>
      <c r="Q62" s="519"/>
      <c r="R62" s="519"/>
      <c r="S62" s="519"/>
      <c r="T62" s="519"/>
      <c r="U62" s="519"/>
      <c r="V62" s="519"/>
      <c r="W62" s="519"/>
      <c r="X62" s="519"/>
      <c r="Y62" s="435">
        <f>Z53+N55+N57</f>
        <v>232720</v>
      </c>
      <c r="Z62" s="570">
        <v>150000</v>
      </c>
      <c r="AB62" s="571">
        <f>IF(AB55&lt;Y53,AB55,AB56)</f>
        <v>0</v>
      </c>
    </row>
    <row r="63" spans="2:28" ht="15">
      <c r="B63" s="538"/>
      <c r="C63" s="558" t="s">
        <v>388</v>
      </c>
      <c r="D63" s="593" t="s">
        <v>511</v>
      </c>
      <c r="E63" s="559"/>
      <c r="F63" s="545" t="s">
        <v>200</v>
      </c>
      <c r="G63" s="525">
        <f>'Annexure -II'!L50</f>
        <v>0</v>
      </c>
      <c r="H63" s="545"/>
      <c r="I63" s="532" t="s">
        <v>200</v>
      </c>
      <c r="J63" s="508">
        <f>'Annexure -II'!M50</f>
        <v>0</v>
      </c>
      <c r="K63" s="545" t="s">
        <v>200</v>
      </c>
      <c r="L63" s="508">
        <f aca="true" t="shared" si="2" ref="L63:L65">J63</f>
        <v>0</v>
      </c>
      <c r="M63" s="561" t="s">
        <v>200</v>
      </c>
      <c r="N63" s="562">
        <f aca="true" t="shared" si="3" ref="N63:N65">L63</f>
        <v>0</v>
      </c>
      <c r="O63" s="519"/>
      <c r="P63" s="519"/>
      <c r="Q63" s="519"/>
      <c r="R63" s="519"/>
      <c r="S63" s="519"/>
      <c r="T63" s="519"/>
      <c r="U63" s="519"/>
      <c r="V63" s="519"/>
      <c r="W63" s="519"/>
      <c r="X63" s="519"/>
      <c r="Y63" s="435"/>
      <c r="Z63" s="570">
        <v>25000</v>
      </c>
      <c r="AB63" s="571"/>
    </row>
    <row r="64" spans="2:28" ht="15">
      <c r="B64" s="538"/>
      <c r="C64" s="558" t="s">
        <v>389</v>
      </c>
      <c r="D64" s="593" t="s">
        <v>512</v>
      </c>
      <c r="E64" s="559"/>
      <c r="F64" s="545" t="s">
        <v>200</v>
      </c>
      <c r="G64" s="525">
        <f>'Annexure -II'!L49</f>
        <v>10360</v>
      </c>
      <c r="H64" s="501"/>
      <c r="I64" s="532" t="s">
        <v>200</v>
      </c>
      <c r="J64" s="508">
        <f>IF(G64&gt;=50000,50000,G64)</f>
        <v>10360</v>
      </c>
      <c r="K64" s="545" t="s">
        <v>200</v>
      </c>
      <c r="L64" s="508">
        <f t="shared" si="2"/>
        <v>10360</v>
      </c>
      <c r="M64" s="561" t="s">
        <v>200</v>
      </c>
      <c r="N64" s="562">
        <f t="shared" si="3"/>
        <v>10360</v>
      </c>
      <c r="O64" s="519"/>
      <c r="P64" s="519"/>
      <c r="Q64" s="519"/>
      <c r="R64" s="519"/>
      <c r="S64" s="519"/>
      <c r="T64" s="519"/>
      <c r="U64" s="519"/>
      <c r="V64" s="519"/>
      <c r="W64" s="519"/>
      <c r="X64" s="519"/>
      <c r="Y64" s="435"/>
      <c r="Z64" s="570"/>
      <c r="AB64" s="571"/>
    </row>
    <row r="65" spans="2:28" ht="15">
      <c r="B65" s="572"/>
      <c r="C65" s="559" t="s">
        <v>390</v>
      </c>
      <c r="D65" s="593" t="s">
        <v>501</v>
      </c>
      <c r="E65" s="559"/>
      <c r="F65" s="545" t="s">
        <v>200</v>
      </c>
      <c r="G65" s="525">
        <f>N40</f>
        <v>0</v>
      </c>
      <c r="H65" s="501"/>
      <c r="I65" s="532" t="s">
        <v>200</v>
      </c>
      <c r="J65" s="508">
        <f>'Annexure -II'!M51</f>
        <v>0</v>
      </c>
      <c r="K65" s="545" t="s">
        <v>200</v>
      </c>
      <c r="L65" s="508">
        <f t="shared" si="2"/>
        <v>0</v>
      </c>
      <c r="M65" s="561" t="s">
        <v>200</v>
      </c>
      <c r="N65" s="562">
        <f t="shared" si="3"/>
        <v>0</v>
      </c>
      <c r="O65" s="519"/>
      <c r="P65" s="519"/>
      <c r="Q65" s="519"/>
      <c r="R65" s="519"/>
      <c r="S65" s="519"/>
      <c r="T65" s="519"/>
      <c r="U65" s="519"/>
      <c r="V65" s="519"/>
      <c r="W65" s="519"/>
      <c r="X65" s="519"/>
      <c r="Y65" s="435"/>
      <c r="Z65" s="570"/>
      <c r="AB65" s="571"/>
    </row>
    <row r="66" spans="2:28" ht="14.25" customHeight="1">
      <c r="B66" s="496"/>
      <c r="C66" s="567" t="s">
        <v>513</v>
      </c>
      <c r="D66" s="567"/>
      <c r="E66" s="567"/>
      <c r="F66" s="567"/>
      <c r="G66" s="567"/>
      <c r="H66" s="567"/>
      <c r="I66" s="567"/>
      <c r="J66" s="567"/>
      <c r="K66" s="567"/>
      <c r="L66" s="567"/>
      <c r="M66" s="568" t="s">
        <v>200</v>
      </c>
      <c r="N66" s="569">
        <f>SUM(N62:N65)</f>
        <v>160360</v>
      </c>
      <c r="O66" s="519"/>
      <c r="P66" s="519"/>
      <c r="Q66" s="519"/>
      <c r="R66" s="519"/>
      <c r="S66" s="519"/>
      <c r="T66" s="519"/>
      <c r="U66" s="519"/>
      <c r="V66" s="519"/>
      <c r="W66" s="519"/>
      <c r="X66" s="519"/>
      <c r="Y66" s="435">
        <f>Z57+N59+N61</f>
        <v>150000</v>
      </c>
      <c r="Z66" s="570">
        <v>150000</v>
      </c>
      <c r="AB66" s="571">
        <f>IF(AB59&lt;Y57,AB59,AB60)</f>
        <v>0</v>
      </c>
    </row>
    <row r="67" spans="2:28" ht="14.25" customHeight="1">
      <c r="B67" s="573" t="s">
        <v>502</v>
      </c>
      <c r="C67" s="573"/>
      <c r="D67" s="574" t="s">
        <v>503</v>
      </c>
      <c r="E67" s="574"/>
      <c r="F67" s="574"/>
      <c r="G67" s="574"/>
      <c r="H67" s="574"/>
      <c r="I67" s="574"/>
      <c r="J67" s="574"/>
      <c r="K67" s="574"/>
      <c r="L67" s="574"/>
      <c r="M67" s="574"/>
      <c r="N67" s="574"/>
      <c r="O67" s="542"/>
      <c r="P67" s="542"/>
      <c r="Q67" s="542"/>
      <c r="R67" s="542"/>
      <c r="S67" s="542"/>
      <c r="T67" s="542"/>
      <c r="U67" s="542"/>
      <c r="V67" s="542"/>
      <c r="W67" s="542"/>
      <c r="X67" s="542"/>
      <c r="AB67" s="435"/>
    </row>
    <row r="68" spans="2:28" ht="14.25" customHeight="1">
      <c r="B68" s="575"/>
      <c r="C68" s="575"/>
      <c r="D68" s="576" t="s">
        <v>504</v>
      </c>
      <c r="E68" s="576"/>
      <c r="F68" s="576"/>
      <c r="G68" s="576"/>
      <c r="H68" s="576"/>
      <c r="I68" s="576"/>
      <c r="J68" s="576"/>
      <c r="K68" s="576"/>
      <c r="L68" s="576"/>
      <c r="M68" s="576"/>
      <c r="N68" s="576"/>
      <c r="O68" s="542"/>
      <c r="P68" s="542"/>
      <c r="Q68" s="542"/>
      <c r="R68" s="542"/>
      <c r="S68" s="542"/>
      <c r="T68" s="542"/>
      <c r="U68" s="542"/>
      <c r="V68" s="542"/>
      <c r="W68" s="542"/>
      <c r="X68" s="542"/>
      <c r="AB68" s="557">
        <f>IF(Y66&lt;Z66,Y66,IF(Y66&gt;Z66,Z66))</f>
        <v>0</v>
      </c>
    </row>
    <row r="69" spans="2:24" ht="17.25">
      <c r="B69" s="594" t="s">
        <v>430</v>
      </c>
      <c r="C69" s="594"/>
      <c r="D69" s="594"/>
      <c r="E69" s="594"/>
      <c r="F69" s="594"/>
      <c r="G69" s="594"/>
      <c r="H69" s="594"/>
      <c r="I69" s="594"/>
      <c r="J69" s="594"/>
      <c r="K69" s="594"/>
      <c r="L69" s="594"/>
      <c r="M69" s="594"/>
      <c r="N69" s="594"/>
      <c r="O69" s="579"/>
      <c r="P69" s="579"/>
      <c r="Q69" s="579"/>
      <c r="R69" s="579"/>
      <c r="S69" s="579"/>
      <c r="T69" s="579"/>
      <c r="U69" s="579"/>
      <c r="V69" s="579"/>
      <c r="W69" s="579"/>
      <c r="X69" s="579"/>
    </row>
    <row r="70" ht="16.5" hidden="1"/>
    <row r="71" ht="16.5" hidden="1"/>
    <row r="72" ht="16.5" hidden="1"/>
    <row r="73" ht="16.5" hidden="1"/>
    <row r="74" ht="16.5" hidden="1"/>
    <row r="75" ht="16.5" hidden="1"/>
    <row r="76" ht="16.5" hidden="1"/>
    <row r="77" ht="16.5" hidden="1"/>
  </sheetData>
  <sheetProtection password="F3B7" sheet="1" scenarios="1" selectLockedCells="1"/>
  <mergeCells count="79">
    <mergeCell ref="B2:N2"/>
    <mergeCell ref="B3:N4"/>
    <mergeCell ref="B5:H5"/>
    <mergeCell ref="I5:N5"/>
    <mergeCell ref="B7:H7"/>
    <mergeCell ref="I7:N7"/>
    <mergeCell ref="B8:H8"/>
    <mergeCell ref="I8:N8"/>
    <mergeCell ref="B9:H9"/>
    <mergeCell ref="I9:N9"/>
    <mergeCell ref="B10:H10"/>
    <mergeCell ref="I10:N10"/>
    <mergeCell ref="B11:H11"/>
    <mergeCell ref="I11:N11"/>
    <mergeCell ref="B12:D12"/>
    <mergeCell ref="E12:G12"/>
    <mergeCell ref="I12:K12"/>
    <mergeCell ref="L12:N12"/>
    <mergeCell ref="B13:N13"/>
    <mergeCell ref="B14:D14"/>
    <mergeCell ref="E14:H14"/>
    <mergeCell ref="I14:L14"/>
    <mergeCell ref="M14:N14"/>
    <mergeCell ref="B15:D15"/>
    <mergeCell ref="E15:H15"/>
    <mergeCell ref="I15:J15"/>
    <mergeCell ref="K15:L15"/>
    <mergeCell ref="M15:N15"/>
    <mergeCell ref="B16:D16"/>
    <mergeCell ref="E16:H16"/>
    <mergeCell ref="I16:J18"/>
    <mergeCell ref="K16:L18"/>
    <mergeCell ref="M16:N18"/>
    <mergeCell ref="B17:D17"/>
    <mergeCell ref="E17:H17"/>
    <mergeCell ref="B18:D18"/>
    <mergeCell ref="E18:H18"/>
    <mergeCell ref="B19:N19"/>
    <mergeCell ref="B20:N20"/>
    <mergeCell ref="C21:D21"/>
    <mergeCell ref="D22:H22"/>
    <mergeCell ref="D23:H23"/>
    <mergeCell ref="D24:H24"/>
    <mergeCell ref="D25:H25"/>
    <mergeCell ref="D26:H26"/>
    <mergeCell ref="C28:H28"/>
    <mergeCell ref="D30:E30"/>
    <mergeCell ref="C31:H31"/>
    <mergeCell ref="C32:H32"/>
    <mergeCell ref="C35:H35"/>
    <mergeCell ref="C36:H36"/>
    <mergeCell ref="C37:H37"/>
    <mergeCell ref="C38:H38"/>
    <mergeCell ref="C40:H40"/>
    <mergeCell ref="C41:E41"/>
    <mergeCell ref="C42:G42"/>
    <mergeCell ref="C43:E43"/>
    <mergeCell ref="I43:J43"/>
    <mergeCell ref="K43:L43"/>
    <mergeCell ref="D45:E45"/>
    <mergeCell ref="D48:E48"/>
    <mergeCell ref="D49:E49"/>
    <mergeCell ref="D50:E50"/>
    <mergeCell ref="D51:E51"/>
    <mergeCell ref="D52:E52"/>
    <mergeCell ref="D53:E53"/>
    <mergeCell ref="D54:E54"/>
    <mergeCell ref="D55:E55"/>
    <mergeCell ref="D56:E56"/>
    <mergeCell ref="I57:L57"/>
    <mergeCell ref="D59:E59"/>
    <mergeCell ref="D61:E61"/>
    <mergeCell ref="C62:L62"/>
    <mergeCell ref="C66:L66"/>
    <mergeCell ref="B67:C67"/>
    <mergeCell ref="D67:N67"/>
    <mergeCell ref="B68:C68"/>
    <mergeCell ref="D68:N68"/>
    <mergeCell ref="B69:N69"/>
  </mergeCells>
  <printOptions/>
  <pageMargins left="0.5902777777777778" right="0" top="0.39375" bottom="0.39375" header="0.5118055555555555" footer="0.5118055555555555"/>
  <pageSetup horizontalDpi="300" verticalDpi="300" orientation="portrait" paperSize="9" scale="82"/>
</worksheet>
</file>

<file path=xl/worksheets/sheet7.xml><?xml version="1.0" encoding="utf-8"?>
<worksheet xmlns="http://schemas.openxmlformats.org/spreadsheetml/2006/main" xmlns:r="http://schemas.openxmlformats.org/officeDocument/2006/relationships">
  <dimension ref="B1:HA238"/>
  <sheetViews>
    <sheetView showGridLines="0" showRowColHeaders="0" workbookViewId="0" topLeftCell="A22">
      <selection activeCell="C35" sqref="C35"/>
    </sheetView>
  </sheetViews>
  <sheetFormatPr defaultColWidth="1.1484375" defaultRowHeight="13.5" customHeight="1" zeroHeight="1"/>
  <cols>
    <col min="1" max="1" width="1.421875" style="318" customWidth="1"/>
    <col min="2" max="2" width="3.57421875" style="318" customWidth="1"/>
    <col min="3" max="3" width="5.00390625" style="318" customWidth="1"/>
    <col min="4" max="4" width="9.7109375" style="318" customWidth="1"/>
    <col min="5" max="5" width="9.28125" style="318" customWidth="1"/>
    <col min="6" max="6" width="10.8515625" style="318" customWidth="1"/>
    <col min="7" max="7" width="15.28125" style="318" customWidth="1"/>
    <col min="8" max="8" width="3.421875" style="318" customWidth="1"/>
    <col min="9" max="9" width="9.28125" style="318" customWidth="1"/>
    <col min="10" max="10" width="10.00390625" style="318" customWidth="1"/>
    <col min="11" max="11" width="9.8515625" style="318" customWidth="1"/>
    <col min="12" max="12" width="2.8515625" style="318" customWidth="1"/>
    <col min="13" max="13" width="12.421875" style="318" customWidth="1"/>
    <col min="14" max="14" width="1.1484375" style="318" customWidth="1"/>
    <col min="15" max="16384" width="0" style="318" hidden="1" customWidth="1"/>
  </cols>
  <sheetData>
    <row r="1" spans="15:28" ht="7.5" customHeight="1">
      <c r="O1" s="435"/>
      <c r="P1" s="435"/>
      <c r="Q1" s="435"/>
      <c r="R1" s="435"/>
      <c r="S1" s="435"/>
      <c r="T1" s="435"/>
      <c r="U1" s="435"/>
      <c r="V1" s="435"/>
      <c r="W1" s="435"/>
      <c r="X1" s="435"/>
      <c r="Y1" s="435"/>
      <c r="Z1" s="435"/>
      <c r="AA1" s="435"/>
      <c r="AB1" s="435"/>
    </row>
    <row r="2" spans="2:28" ht="14.25" customHeight="1">
      <c r="B2" s="595" t="s">
        <v>514</v>
      </c>
      <c r="C2" s="596" t="s">
        <v>515</v>
      </c>
      <c r="D2" s="596"/>
      <c r="E2" s="596"/>
      <c r="F2" s="596"/>
      <c r="G2" s="596"/>
      <c r="H2" s="597" t="s">
        <v>473</v>
      </c>
      <c r="I2" s="597"/>
      <c r="J2" s="598" t="s">
        <v>474</v>
      </c>
      <c r="K2" s="598" t="s">
        <v>475</v>
      </c>
      <c r="L2" s="599"/>
      <c r="M2" s="600"/>
      <c r="N2" s="431"/>
      <c r="O2" s="431"/>
      <c r="P2" s="431"/>
      <c r="Q2" s="431"/>
      <c r="R2" s="431"/>
      <c r="S2" s="431"/>
      <c r="T2" s="431"/>
      <c r="U2" s="431"/>
      <c r="V2" s="431"/>
      <c r="W2" s="431"/>
      <c r="X2" s="431"/>
      <c r="Y2" s="431"/>
      <c r="Z2" s="431"/>
      <c r="AA2" s="431"/>
      <c r="AB2" s="435"/>
    </row>
    <row r="3" spans="2:30" ht="14.25" customHeight="1">
      <c r="B3" s="601"/>
      <c r="C3" s="602" t="s">
        <v>516</v>
      </c>
      <c r="D3" s="602"/>
      <c r="E3" s="602"/>
      <c r="F3" s="602"/>
      <c r="G3" s="602"/>
      <c r="H3" s="603" t="s">
        <v>197</v>
      </c>
      <c r="I3" s="603"/>
      <c r="J3" s="604" t="s">
        <v>197</v>
      </c>
      <c r="K3" s="604" t="s">
        <v>197</v>
      </c>
      <c r="L3" s="401"/>
      <c r="M3" s="605"/>
      <c r="N3" s="431"/>
      <c r="O3" s="431"/>
      <c r="P3" s="431"/>
      <c r="Q3" s="431"/>
      <c r="R3" s="431"/>
      <c r="S3" s="431"/>
      <c r="T3" s="431"/>
      <c r="U3" s="431"/>
      <c r="V3" s="431"/>
      <c r="W3" s="431"/>
      <c r="X3" s="431"/>
      <c r="Y3" s="431"/>
      <c r="Z3" s="431"/>
      <c r="AA3" s="431"/>
      <c r="AC3" s="606"/>
      <c r="AD3" s="435"/>
    </row>
    <row r="4" spans="2:36" ht="15" customHeight="1">
      <c r="B4" s="607"/>
      <c r="C4" s="608" t="s">
        <v>517</v>
      </c>
      <c r="D4" s="608"/>
      <c r="E4" s="608"/>
      <c r="F4" s="608"/>
      <c r="G4" s="608"/>
      <c r="H4" s="609" t="s">
        <v>200</v>
      </c>
      <c r="I4" s="610">
        <f>'Annexure -II'!L32</f>
        <v>120</v>
      </c>
      <c r="J4" s="611">
        <f>IF(I4&lt;=AD19,I4,IF(I4&gt;=AD19,AD19))</f>
        <v>120</v>
      </c>
      <c r="K4" s="612">
        <f aca="true" t="shared" si="0" ref="K4:K11">J4</f>
        <v>120</v>
      </c>
      <c r="L4" s="401"/>
      <c r="M4" s="605"/>
      <c r="N4" s="431"/>
      <c r="O4" s="431"/>
      <c r="P4" s="431"/>
      <c r="Q4" s="431"/>
      <c r="R4" s="431"/>
      <c r="S4" s="431"/>
      <c r="T4" s="431"/>
      <c r="U4" s="431"/>
      <c r="V4" s="431"/>
      <c r="W4" s="431"/>
      <c r="X4" s="431"/>
      <c r="Y4" s="431"/>
      <c r="Z4" s="431"/>
      <c r="AA4" s="431"/>
      <c r="AB4" s="435"/>
      <c r="AD4" s="613"/>
      <c r="AE4" s="511"/>
      <c r="AF4" s="511"/>
      <c r="AG4" s="522"/>
      <c r="AJ4" s="614"/>
    </row>
    <row r="5" spans="2:35" ht="15" customHeight="1">
      <c r="B5" s="607"/>
      <c r="C5" s="615">
        <f>'Annexure -II'!D24</f>
        <v>0</v>
      </c>
      <c r="D5" s="615"/>
      <c r="E5" s="615"/>
      <c r="F5" s="615"/>
      <c r="G5" s="615"/>
      <c r="H5" s="609" t="s">
        <v>200</v>
      </c>
      <c r="I5" s="616">
        <f>'Annexure -II'!L24</f>
        <v>0</v>
      </c>
      <c r="J5" s="610">
        <f>'Annexure -II'!L24</f>
        <v>0</v>
      </c>
      <c r="K5" s="612">
        <f t="shared" si="0"/>
        <v>0</v>
      </c>
      <c r="L5" s="401"/>
      <c r="M5" s="605"/>
      <c r="N5" s="431"/>
      <c r="O5" s="431"/>
      <c r="P5" s="431"/>
      <c r="Q5" s="431"/>
      <c r="R5" s="431"/>
      <c r="S5" s="431"/>
      <c r="T5" s="431"/>
      <c r="U5" s="431"/>
      <c r="V5" s="431"/>
      <c r="W5" s="431"/>
      <c r="X5" s="431"/>
      <c r="Y5" s="431"/>
      <c r="Z5" s="431"/>
      <c r="AA5" s="431"/>
      <c r="AB5" s="435"/>
      <c r="AD5" s="613"/>
      <c r="AE5" s="511"/>
      <c r="AF5" s="511"/>
      <c r="AG5" s="522"/>
      <c r="AI5" s="512"/>
    </row>
    <row r="6" spans="2:35" ht="15" customHeight="1">
      <c r="B6" s="607"/>
      <c r="C6" s="608">
        <f>'Annexure -II'!D25</f>
        <v>0</v>
      </c>
      <c r="D6" s="608"/>
      <c r="E6" s="608"/>
      <c r="F6" s="608"/>
      <c r="G6" s="608"/>
      <c r="H6" s="609" t="s">
        <v>200</v>
      </c>
      <c r="I6" s="616">
        <v>0</v>
      </c>
      <c r="J6" s="610">
        <f>'Annexure -II'!L25</f>
        <v>0</v>
      </c>
      <c r="K6" s="612">
        <f t="shared" si="0"/>
        <v>0</v>
      </c>
      <c r="L6" s="401"/>
      <c r="M6" s="605"/>
      <c r="N6" s="431"/>
      <c r="O6" s="431"/>
      <c r="P6" s="431"/>
      <c r="Q6" s="431"/>
      <c r="R6" s="431"/>
      <c r="S6" s="431"/>
      <c r="T6" s="431"/>
      <c r="U6" s="431"/>
      <c r="V6" s="431"/>
      <c r="W6" s="431"/>
      <c r="X6" s="431"/>
      <c r="Y6" s="431"/>
      <c r="Z6" s="431"/>
      <c r="AA6" s="431"/>
      <c r="AB6" s="435"/>
      <c r="AD6" s="613"/>
      <c r="AE6" s="511"/>
      <c r="AF6" s="511"/>
      <c r="AG6" s="522"/>
      <c r="AI6" s="512"/>
    </row>
    <row r="7" spans="2:35" ht="15" customHeight="1">
      <c r="B7" s="607"/>
      <c r="C7" s="608">
        <f>'Annexure -II'!D28</f>
        <v>0</v>
      </c>
      <c r="D7" s="608"/>
      <c r="E7" s="608"/>
      <c r="F7" s="608"/>
      <c r="G7" s="608"/>
      <c r="H7" s="609" t="s">
        <v>200</v>
      </c>
      <c r="I7" s="616">
        <f>DATA!M22</f>
        <v>0</v>
      </c>
      <c r="J7" s="610">
        <f>'Annexure -II'!L28</f>
        <v>0</v>
      </c>
      <c r="K7" s="612">
        <f t="shared" si="0"/>
        <v>0</v>
      </c>
      <c r="L7" s="401"/>
      <c r="M7" s="605"/>
      <c r="N7" s="431"/>
      <c r="O7" s="431"/>
      <c r="P7" s="431"/>
      <c r="Q7" s="431"/>
      <c r="R7" s="431"/>
      <c r="S7" s="431"/>
      <c r="T7" s="431"/>
      <c r="U7" s="431"/>
      <c r="V7" s="431"/>
      <c r="W7" s="431"/>
      <c r="X7" s="431"/>
      <c r="Y7" s="431"/>
      <c r="Z7" s="431"/>
      <c r="AA7" s="431"/>
      <c r="AB7" s="435"/>
      <c r="AD7" s="613"/>
      <c r="AE7" s="511"/>
      <c r="AF7" s="511"/>
      <c r="AG7" s="522"/>
      <c r="AI7" s="512"/>
    </row>
    <row r="8" spans="2:35" ht="15" customHeight="1">
      <c r="B8" s="607"/>
      <c r="C8" s="608">
        <f>'Annexure -II'!D29</f>
        <v>0</v>
      </c>
      <c r="D8" s="608"/>
      <c r="E8" s="608"/>
      <c r="F8" s="608"/>
      <c r="G8" s="608"/>
      <c r="H8" s="609" t="s">
        <v>200</v>
      </c>
      <c r="I8" s="616">
        <f>DATA!M23</f>
        <v>0</v>
      </c>
      <c r="J8" s="610">
        <f>'Annexure -II'!L29</f>
        <v>0</v>
      </c>
      <c r="K8" s="612">
        <f t="shared" si="0"/>
        <v>0</v>
      </c>
      <c r="L8" s="401"/>
      <c r="M8" s="605"/>
      <c r="N8" s="431"/>
      <c r="O8" s="431"/>
      <c r="P8" s="431"/>
      <c r="Q8" s="431"/>
      <c r="R8" s="431"/>
      <c r="S8" s="431"/>
      <c r="T8" s="431"/>
      <c r="U8" s="431"/>
      <c r="V8" s="431"/>
      <c r="W8" s="431"/>
      <c r="X8" s="431"/>
      <c r="Y8" s="431"/>
      <c r="Z8" s="431"/>
      <c r="AA8" s="431"/>
      <c r="AB8" s="435"/>
      <c r="AD8" s="613"/>
      <c r="AE8" s="511"/>
      <c r="AF8" s="511"/>
      <c r="AG8" s="522"/>
      <c r="AI8" s="512"/>
    </row>
    <row r="9" spans="2:35" ht="15" customHeight="1">
      <c r="B9" s="607"/>
      <c r="C9" s="617" t="s">
        <v>518</v>
      </c>
      <c r="D9" s="617"/>
      <c r="E9" s="617"/>
      <c r="F9" s="617"/>
      <c r="G9" s="617"/>
      <c r="H9" s="618" t="s">
        <v>200</v>
      </c>
      <c r="I9" s="619">
        <f>IF(DATA!AA34=3,'Annexure -I'!O23,0)</f>
        <v>77640</v>
      </c>
      <c r="J9" s="620">
        <f>I9</f>
        <v>77640</v>
      </c>
      <c r="K9" s="621">
        <f t="shared" si="0"/>
        <v>77640</v>
      </c>
      <c r="L9" s="401"/>
      <c r="M9" s="605"/>
      <c r="N9" s="431"/>
      <c r="O9" s="431"/>
      <c r="P9" s="431"/>
      <c r="Q9" s="431"/>
      <c r="R9" s="431"/>
      <c r="S9" s="431"/>
      <c r="T9" s="431"/>
      <c r="U9" s="431"/>
      <c r="V9" s="431"/>
      <c r="W9" s="431"/>
      <c r="X9" s="431"/>
      <c r="Y9" s="431"/>
      <c r="Z9" s="431"/>
      <c r="AA9" s="431"/>
      <c r="AB9" s="435"/>
      <c r="AD9" s="613"/>
      <c r="AE9" s="511"/>
      <c r="AF9" s="511"/>
      <c r="AG9" s="522"/>
      <c r="AI9" s="512"/>
    </row>
    <row r="10" spans="2:35" ht="15" customHeight="1">
      <c r="B10" s="607"/>
      <c r="C10" s="608">
        <f>'Annexure -II'!D30</f>
        <v>0</v>
      </c>
      <c r="D10" s="608"/>
      <c r="E10" s="608"/>
      <c r="F10" s="608"/>
      <c r="G10" s="608"/>
      <c r="H10" s="609" t="s">
        <v>200</v>
      </c>
      <c r="I10" s="622">
        <f>DATA!R74</f>
        <v>0</v>
      </c>
      <c r="J10" s="610">
        <f>DATA!S74</f>
        <v>0</v>
      </c>
      <c r="K10" s="612">
        <f t="shared" si="0"/>
        <v>0</v>
      </c>
      <c r="L10" s="401"/>
      <c r="M10" s="605"/>
      <c r="N10" s="431"/>
      <c r="O10" s="431"/>
      <c r="P10" s="431"/>
      <c r="Q10" s="431"/>
      <c r="R10" s="431"/>
      <c r="S10" s="431"/>
      <c r="T10" s="431"/>
      <c r="U10" s="431"/>
      <c r="V10" s="431"/>
      <c r="W10" s="431"/>
      <c r="X10" s="431"/>
      <c r="Y10" s="431"/>
      <c r="Z10" s="431"/>
      <c r="AA10" s="431"/>
      <c r="AB10" s="435"/>
      <c r="AD10" s="613"/>
      <c r="AE10" s="511"/>
      <c r="AF10" s="511"/>
      <c r="AG10" s="522"/>
      <c r="AI10" s="512"/>
    </row>
    <row r="11" spans="2:35" ht="15" customHeight="1">
      <c r="B11" s="607"/>
      <c r="C11" s="608">
        <f>'Annexure -II'!D31</f>
        <v>0</v>
      </c>
      <c r="D11" s="608"/>
      <c r="E11" s="608"/>
      <c r="F11" s="608"/>
      <c r="G11" s="608"/>
      <c r="H11" s="609" t="s">
        <v>200</v>
      </c>
      <c r="I11" s="616">
        <f>DATA!M25</f>
        <v>0</v>
      </c>
      <c r="J11" s="610">
        <f>'Annexure -II'!L31</f>
        <v>0</v>
      </c>
      <c r="K11" s="612">
        <f t="shared" si="0"/>
        <v>0</v>
      </c>
      <c r="L11" s="401"/>
      <c r="M11" s="605"/>
      <c r="N11" s="431"/>
      <c r="O11" s="431"/>
      <c r="P11" s="431"/>
      <c r="Q11" s="431"/>
      <c r="R11" s="431"/>
      <c r="S11" s="431"/>
      <c r="T11" s="431"/>
      <c r="U11" s="431"/>
      <c r="V11" s="431"/>
      <c r="W11" s="431"/>
      <c r="X11" s="431"/>
      <c r="Y11" s="431"/>
      <c r="Z11" s="431"/>
      <c r="AA11" s="431"/>
      <c r="AB11" s="435"/>
      <c r="AD11" s="613"/>
      <c r="AE11" s="511"/>
      <c r="AF11" s="511"/>
      <c r="AG11" s="522"/>
      <c r="AI11" s="512"/>
    </row>
    <row r="12" spans="2:35" ht="15.75" customHeight="1">
      <c r="B12" s="601"/>
      <c r="C12" s="401"/>
      <c r="D12" s="401"/>
      <c r="E12" s="401"/>
      <c r="F12" s="401"/>
      <c r="G12" s="540" t="s">
        <v>519</v>
      </c>
      <c r="H12" s="540"/>
      <c r="I12" s="540"/>
      <c r="J12" s="623"/>
      <c r="K12" s="624"/>
      <c r="L12" s="625" t="s">
        <v>200</v>
      </c>
      <c r="M12" s="626">
        <f>SUM(K4:K11)</f>
        <v>77760</v>
      </c>
      <c r="N12" s="627"/>
      <c r="O12" s="627"/>
      <c r="P12" s="627"/>
      <c r="Q12" s="627"/>
      <c r="R12" s="627"/>
      <c r="S12" s="627"/>
      <c r="T12" s="627"/>
      <c r="U12" s="627"/>
      <c r="V12" s="627"/>
      <c r="W12" s="627"/>
      <c r="X12" s="627"/>
      <c r="Y12" s="627"/>
      <c r="Z12" s="627"/>
      <c r="AA12" s="627"/>
      <c r="AB12" s="628"/>
      <c r="AD12" s="613"/>
      <c r="AE12" s="511"/>
      <c r="AF12" s="511"/>
      <c r="AG12" s="522"/>
      <c r="AI12" s="512"/>
    </row>
    <row r="13" spans="2:33" ht="15.75" customHeight="1">
      <c r="B13" s="601">
        <v>10</v>
      </c>
      <c r="C13" s="629" t="s">
        <v>520</v>
      </c>
      <c r="D13" s="629"/>
      <c r="E13" s="629"/>
      <c r="F13" s="629"/>
      <c r="G13" s="629"/>
      <c r="H13" s="629"/>
      <c r="I13" s="629"/>
      <c r="J13" s="630"/>
      <c r="K13" s="631"/>
      <c r="L13" s="632" t="s">
        <v>200</v>
      </c>
      <c r="M13" s="633">
        <f>SUM('Form 16 Page-1'!N66+'Form 16 Page2'!M12)</f>
        <v>238120</v>
      </c>
      <c r="N13" s="634"/>
      <c r="O13" s="634"/>
      <c r="P13" s="634"/>
      <c r="Q13" s="634"/>
      <c r="R13" s="634"/>
      <c r="S13" s="634"/>
      <c r="T13" s="634"/>
      <c r="U13" s="634"/>
      <c r="V13" s="634"/>
      <c r="W13" s="634"/>
      <c r="X13" s="634"/>
      <c r="Y13" s="634"/>
      <c r="Z13" s="634"/>
      <c r="AA13" s="634"/>
      <c r="AB13" s="635"/>
      <c r="AD13" s="613"/>
      <c r="AE13" s="511"/>
      <c r="AF13" s="511"/>
      <c r="AG13" s="522"/>
    </row>
    <row r="14" spans="2:33" ht="4.5" customHeight="1">
      <c r="B14" s="601"/>
      <c r="C14" s="401"/>
      <c r="D14" s="401"/>
      <c r="E14" s="401"/>
      <c r="F14" s="401"/>
      <c r="G14" s="401"/>
      <c r="H14" s="401"/>
      <c r="I14" s="401"/>
      <c r="J14" s="630"/>
      <c r="K14" s="631"/>
      <c r="L14" s="378"/>
      <c r="M14" s="636"/>
      <c r="N14" s="431"/>
      <c r="O14" s="431"/>
      <c r="P14" s="431"/>
      <c r="Q14" s="431"/>
      <c r="R14" s="431"/>
      <c r="S14" s="431"/>
      <c r="T14" s="431"/>
      <c r="U14" s="431"/>
      <c r="V14" s="431"/>
      <c r="W14" s="431"/>
      <c r="X14" s="431"/>
      <c r="Y14" s="431"/>
      <c r="Z14" s="431"/>
      <c r="AA14" s="431"/>
      <c r="AB14" s="435"/>
      <c r="AD14" s="613"/>
      <c r="AE14" s="511"/>
      <c r="AF14" s="511"/>
      <c r="AG14" s="522"/>
    </row>
    <row r="15" spans="2:33" ht="15.75" customHeight="1">
      <c r="B15" s="601">
        <v>11</v>
      </c>
      <c r="C15" s="385" t="s">
        <v>521</v>
      </c>
      <c r="D15" s="385"/>
      <c r="E15" s="385"/>
      <c r="F15" s="385"/>
      <c r="G15" s="385"/>
      <c r="H15" s="385"/>
      <c r="I15" s="385"/>
      <c r="J15" s="630"/>
      <c r="K15" s="631"/>
      <c r="L15" s="378" t="s">
        <v>200</v>
      </c>
      <c r="M15" s="637">
        <f>ROUND(('Form 16 Page-1'!N41-'Form 16 Page2'!M13),-1)</f>
        <v>755140</v>
      </c>
      <c r="N15" s="638"/>
      <c r="O15" s="638"/>
      <c r="P15" s="638"/>
      <c r="Q15" s="638"/>
      <c r="R15" s="638"/>
      <c r="S15" s="638"/>
      <c r="T15" s="638"/>
      <c r="U15" s="638"/>
      <c r="V15" s="638"/>
      <c r="W15" s="638"/>
      <c r="X15" s="638"/>
      <c r="Y15" s="638"/>
      <c r="Z15" s="638"/>
      <c r="AA15" s="638"/>
      <c r="AB15" s="639"/>
      <c r="AD15" s="613"/>
      <c r="AE15" s="511"/>
      <c r="AF15" s="511"/>
      <c r="AG15" s="522"/>
    </row>
    <row r="16" spans="2:36" ht="15.75" customHeight="1">
      <c r="B16" s="601">
        <v>12</v>
      </c>
      <c r="C16" s="640" t="s">
        <v>522</v>
      </c>
      <c r="D16" s="640"/>
      <c r="E16" s="640"/>
      <c r="F16" s="640"/>
      <c r="G16" s="640"/>
      <c r="H16" s="640"/>
      <c r="I16" s="640"/>
      <c r="J16" s="630"/>
      <c r="K16" s="631"/>
      <c r="L16" s="641" t="s">
        <v>200</v>
      </c>
      <c r="M16" s="642">
        <f>'Annexure -II'!M61-'Annexure -II'!M59-'Annexure -II'!M60</f>
        <v>76028</v>
      </c>
      <c r="N16" s="431"/>
      <c r="O16" s="431"/>
      <c r="P16" s="431"/>
      <c r="Q16" s="431"/>
      <c r="R16" s="431"/>
      <c r="S16" s="431"/>
      <c r="T16" s="431"/>
      <c r="U16" s="431"/>
      <c r="V16" s="431"/>
      <c r="W16" s="431"/>
      <c r="X16" s="431"/>
      <c r="Y16" s="431"/>
      <c r="Z16" s="431"/>
      <c r="AA16" s="431"/>
      <c r="AB16" s="435"/>
      <c r="AD16" s="613"/>
      <c r="AE16" s="511"/>
      <c r="AF16" s="511"/>
      <c r="AG16" s="522"/>
      <c r="AJ16" s="553"/>
    </row>
    <row r="17" spans="2:36" ht="15.75" customHeight="1">
      <c r="B17" s="601"/>
      <c r="C17" s="351" t="s">
        <v>523</v>
      </c>
      <c r="D17" s="385"/>
      <c r="E17" s="385"/>
      <c r="F17" s="385"/>
      <c r="G17" s="385"/>
      <c r="H17" s="385"/>
      <c r="I17" s="385"/>
      <c r="J17" s="630"/>
      <c r="K17" s="631"/>
      <c r="L17" s="641"/>
      <c r="M17" s="642"/>
      <c r="N17" s="431"/>
      <c r="O17" s="431"/>
      <c r="P17" s="431"/>
      <c r="Q17" s="431"/>
      <c r="R17" s="431"/>
      <c r="S17" s="431"/>
      <c r="T17" s="431"/>
      <c r="U17" s="431"/>
      <c r="V17" s="431"/>
      <c r="W17" s="431"/>
      <c r="X17" s="431"/>
      <c r="Y17" s="431"/>
      <c r="Z17" s="431"/>
      <c r="AA17" s="431"/>
      <c r="AB17" s="435"/>
      <c r="AD17" s="613"/>
      <c r="AE17" s="511"/>
      <c r="AF17" s="511"/>
      <c r="AG17" s="522"/>
      <c r="AJ17" s="553"/>
    </row>
    <row r="18" spans="2:36" ht="15.75" customHeight="1">
      <c r="B18" s="601">
        <v>13</v>
      </c>
      <c r="C18" s="351" t="s">
        <v>524</v>
      </c>
      <c r="D18" s="351"/>
      <c r="E18" s="351"/>
      <c r="F18" s="351"/>
      <c r="G18" s="351"/>
      <c r="H18" s="351"/>
      <c r="I18" s="351"/>
      <c r="J18" s="630"/>
      <c r="K18" s="631"/>
      <c r="L18" s="641" t="s">
        <v>200</v>
      </c>
      <c r="M18" s="642">
        <f>ROUND(M16*1%,0)</f>
        <v>760</v>
      </c>
      <c r="N18" s="643"/>
      <c r="O18" s="643"/>
      <c r="P18" s="643"/>
      <c r="Q18" s="643"/>
      <c r="R18" s="643"/>
      <c r="S18" s="643"/>
      <c r="T18" s="643"/>
      <c r="U18" s="643"/>
      <c r="V18" s="643"/>
      <c r="W18" s="643"/>
      <c r="X18" s="643"/>
      <c r="Y18" s="643"/>
      <c r="Z18" s="643"/>
      <c r="AA18" s="643"/>
      <c r="AB18" s="644"/>
      <c r="AD18" s="613"/>
      <c r="AE18" s="511"/>
      <c r="AF18" s="511"/>
      <c r="AG18" s="522"/>
      <c r="AJ18" s="553"/>
    </row>
    <row r="19" spans="2:36" ht="15.75" customHeight="1">
      <c r="B19" s="601">
        <v>14</v>
      </c>
      <c r="C19" s="351" t="s">
        <v>525</v>
      </c>
      <c r="D19" s="351"/>
      <c r="E19" s="351"/>
      <c r="F19" s="351"/>
      <c r="G19" s="351"/>
      <c r="H19" s="351"/>
      <c r="I19" s="351"/>
      <c r="J19" s="630"/>
      <c r="K19" s="631"/>
      <c r="L19" s="641" t="s">
        <v>200</v>
      </c>
      <c r="M19" s="642">
        <f>ROUND(M16*2%,0)</f>
        <v>1521</v>
      </c>
      <c r="N19" s="643"/>
      <c r="O19" s="643"/>
      <c r="P19" s="643"/>
      <c r="Q19" s="643"/>
      <c r="R19" s="643"/>
      <c r="S19" s="643"/>
      <c r="T19" s="643"/>
      <c r="U19" s="643"/>
      <c r="V19" s="643"/>
      <c r="W19" s="643"/>
      <c r="X19" s="643"/>
      <c r="Y19" s="643"/>
      <c r="Z19" s="643"/>
      <c r="AA19" s="643"/>
      <c r="AB19" s="644"/>
      <c r="AD19" s="613">
        <v>100000</v>
      </c>
      <c r="AE19" s="511"/>
      <c r="AF19" s="511"/>
      <c r="AG19" s="522"/>
      <c r="AJ19" s="553"/>
    </row>
    <row r="20" spans="2:36" ht="15.75" customHeight="1">
      <c r="B20" s="601">
        <v>15</v>
      </c>
      <c r="C20" s="385" t="s">
        <v>526</v>
      </c>
      <c r="D20" s="385"/>
      <c r="E20" s="385"/>
      <c r="F20" s="385"/>
      <c r="G20" s="385"/>
      <c r="H20" s="385"/>
      <c r="I20" s="385"/>
      <c r="J20" s="630"/>
      <c r="K20" s="631"/>
      <c r="L20" s="641" t="s">
        <v>200</v>
      </c>
      <c r="M20" s="645">
        <f>SUM(M16:M19)</f>
        <v>78309</v>
      </c>
      <c r="N20" s="634"/>
      <c r="O20" s="634"/>
      <c r="P20" s="634"/>
      <c r="Q20" s="634"/>
      <c r="R20" s="634"/>
      <c r="S20" s="634"/>
      <c r="T20" s="634"/>
      <c r="U20" s="634"/>
      <c r="V20" s="634"/>
      <c r="W20" s="634"/>
      <c r="X20" s="634"/>
      <c r="Y20" s="634"/>
      <c r="Z20" s="634"/>
      <c r="AA20" s="634"/>
      <c r="AB20" s="570"/>
      <c r="AE20" s="511"/>
      <c r="AF20" s="511"/>
      <c r="AG20" s="522"/>
      <c r="AJ20" s="553"/>
    </row>
    <row r="21" spans="2:36" ht="15.75" customHeight="1">
      <c r="B21" s="601">
        <v>16</v>
      </c>
      <c r="C21" s="351" t="s">
        <v>527</v>
      </c>
      <c r="D21" s="351"/>
      <c r="E21" s="351"/>
      <c r="F21" s="351"/>
      <c r="G21" s="351"/>
      <c r="H21" s="351"/>
      <c r="I21" s="351"/>
      <c r="J21" s="630"/>
      <c r="K21" s="631"/>
      <c r="L21" s="641" t="s">
        <v>200</v>
      </c>
      <c r="M21" s="642">
        <v>0</v>
      </c>
      <c r="N21" s="431"/>
      <c r="O21" s="431"/>
      <c r="P21" s="431"/>
      <c r="Q21" s="431"/>
      <c r="R21" s="431"/>
      <c r="S21" s="431"/>
      <c r="T21" s="431"/>
      <c r="U21" s="431"/>
      <c r="V21" s="431"/>
      <c r="W21" s="431"/>
      <c r="X21" s="431"/>
      <c r="Y21" s="431"/>
      <c r="Z21" s="431"/>
      <c r="AA21" s="431"/>
      <c r="AB21" s="435"/>
      <c r="AE21" s="511"/>
      <c r="AF21" s="511"/>
      <c r="AJ21" s="553"/>
    </row>
    <row r="22" spans="2:36" ht="15.75" customHeight="1">
      <c r="B22" s="601">
        <v>17</v>
      </c>
      <c r="C22" s="385" t="s">
        <v>528</v>
      </c>
      <c r="D22" s="385"/>
      <c r="E22" s="385"/>
      <c r="F22" s="385"/>
      <c r="G22" s="385"/>
      <c r="H22" s="385"/>
      <c r="I22" s="385"/>
      <c r="J22" s="630"/>
      <c r="K22" s="631"/>
      <c r="L22" s="641" t="s">
        <v>200</v>
      </c>
      <c r="M22" s="645">
        <f>M20-M21</f>
        <v>78309</v>
      </c>
      <c r="N22" s="634"/>
      <c r="O22" s="634"/>
      <c r="P22" s="634"/>
      <c r="Q22" s="634"/>
      <c r="R22" s="634"/>
      <c r="S22" s="634"/>
      <c r="T22" s="634"/>
      <c r="U22" s="634"/>
      <c r="V22" s="634"/>
      <c r="W22" s="634"/>
      <c r="X22" s="634"/>
      <c r="Y22" s="634"/>
      <c r="Z22" s="634"/>
      <c r="AA22" s="634"/>
      <c r="AB22" s="570"/>
      <c r="AJ22" s="553"/>
    </row>
    <row r="23" spans="2:36" ht="15.75" customHeight="1">
      <c r="B23" s="601">
        <v>18</v>
      </c>
      <c r="C23" s="396" t="s">
        <v>529</v>
      </c>
      <c r="D23" s="396"/>
      <c r="E23" s="396"/>
      <c r="F23" s="396"/>
      <c r="G23" s="396"/>
      <c r="H23" s="396"/>
      <c r="I23" s="396"/>
      <c r="J23" s="630"/>
      <c r="K23" s="631"/>
      <c r="L23" s="641" t="s">
        <v>200</v>
      </c>
      <c r="M23" s="642">
        <v>0</v>
      </c>
      <c r="N23" s="431"/>
      <c r="O23" s="431"/>
      <c r="P23" s="431"/>
      <c r="Q23" s="431"/>
      <c r="R23" s="431"/>
      <c r="S23" s="431"/>
      <c r="T23" s="431"/>
      <c r="U23" s="431"/>
      <c r="V23" s="431"/>
      <c r="W23" s="431"/>
      <c r="X23" s="431"/>
      <c r="Y23" s="431"/>
      <c r="Z23" s="431"/>
      <c r="AA23" s="431"/>
      <c r="AB23" s="435"/>
      <c r="AJ23" s="553"/>
    </row>
    <row r="24" spans="2:36" ht="15.75" customHeight="1">
      <c r="B24" s="601"/>
      <c r="C24" s="351"/>
      <c r="D24" s="378" t="s">
        <v>530</v>
      </c>
      <c r="E24" s="378"/>
      <c r="F24" s="378"/>
      <c r="G24" s="378"/>
      <c r="H24" s="378"/>
      <c r="I24" s="378"/>
      <c r="J24" s="630"/>
      <c r="K24" s="631"/>
      <c r="L24" s="641" t="s">
        <v>200</v>
      </c>
      <c r="M24" s="642"/>
      <c r="N24" s="431"/>
      <c r="O24" s="431"/>
      <c r="P24" s="431"/>
      <c r="Q24" s="431"/>
      <c r="R24" s="431"/>
      <c r="S24" s="431"/>
      <c r="T24" s="431"/>
      <c r="U24" s="431"/>
      <c r="V24" s="431"/>
      <c r="W24" s="431"/>
      <c r="X24" s="431"/>
      <c r="Y24" s="431"/>
      <c r="Z24" s="431"/>
      <c r="AA24" s="431"/>
      <c r="AB24" s="435"/>
      <c r="AJ24" s="553"/>
    </row>
    <row r="25" spans="2:36" ht="15.75" customHeight="1">
      <c r="B25" s="601"/>
      <c r="C25" s="351"/>
      <c r="D25" s="351" t="s">
        <v>531</v>
      </c>
      <c r="E25" s="351"/>
      <c r="F25" s="351"/>
      <c r="G25" s="351"/>
      <c r="H25" s="351"/>
      <c r="I25" s="351"/>
      <c r="J25" s="630"/>
      <c r="K25" s="631"/>
      <c r="L25" s="641" t="s">
        <v>200</v>
      </c>
      <c r="M25" s="646">
        <f>'Annexure -II'!H67</f>
        <v>0</v>
      </c>
      <c r="N25" s="431"/>
      <c r="O25" s="431"/>
      <c r="P25" s="431"/>
      <c r="Q25" s="431"/>
      <c r="R25" s="431"/>
      <c r="S25" s="431"/>
      <c r="T25" s="431"/>
      <c r="U25" s="431"/>
      <c r="V25" s="431"/>
      <c r="W25" s="431"/>
      <c r="X25" s="431"/>
      <c r="Y25" s="431"/>
      <c r="Z25" s="431"/>
      <c r="AA25" s="431"/>
      <c r="AB25" s="435"/>
      <c r="AJ25" s="553"/>
    </row>
    <row r="26" spans="2:36" ht="15.75" customHeight="1">
      <c r="B26" s="647">
        <v>19</v>
      </c>
      <c r="C26" s="515" t="s">
        <v>532</v>
      </c>
      <c r="D26" s="515"/>
      <c r="E26" s="515"/>
      <c r="F26" s="515"/>
      <c r="G26" s="515"/>
      <c r="H26" s="648"/>
      <c r="I26" s="498"/>
      <c r="J26" s="649"/>
      <c r="K26" s="650"/>
      <c r="L26" s="506" t="s">
        <v>200</v>
      </c>
      <c r="M26" s="518">
        <f>(M22-(M25))</f>
        <v>78309</v>
      </c>
      <c r="N26" s="634"/>
      <c r="O26" s="634"/>
      <c r="P26" s="634"/>
      <c r="Q26" s="634"/>
      <c r="R26" s="634"/>
      <c r="S26" s="634"/>
      <c r="T26" s="634"/>
      <c r="U26" s="634"/>
      <c r="V26" s="634"/>
      <c r="W26" s="634"/>
      <c r="X26" s="634"/>
      <c r="Y26" s="634"/>
      <c r="Z26" s="634"/>
      <c r="AA26" s="634"/>
      <c r="AB26" s="635"/>
      <c r="AJ26" s="553"/>
    </row>
    <row r="27" spans="2:36" ht="5.25" customHeight="1">
      <c r="B27" s="651"/>
      <c r="C27" s="652"/>
      <c r="D27" s="652"/>
      <c r="E27" s="652"/>
      <c r="F27" s="652"/>
      <c r="G27" s="652"/>
      <c r="H27" s="652"/>
      <c r="I27" s="652"/>
      <c r="J27" s="653"/>
      <c r="K27" s="654"/>
      <c r="L27" s="652"/>
      <c r="M27" s="655"/>
      <c r="N27" s="431"/>
      <c r="O27" s="431"/>
      <c r="P27" s="431"/>
      <c r="Q27" s="431"/>
      <c r="R27" s="431"/>
      <c r="S27" s="431"/>
      <c r="T27" s="431"/>
      <c r="U27" s="431"/>
      <c r="V27" s="431"/>
      <c r="W27" s="431"/>
      <c r="X27" s="431"/>
      <c r="Y27" s="431"/>
      <c r="Z27" s="431"/>
      <c r="AA27" s="431"/>
      <c r="AB27" s="435"/>
      <c r="AJ27" s="553"/>
    </row>
    <row r="28" spans="2:36" ht="3" customHeight="1">
      <c r="B28" s="656"/>
      <c r="C28" s="401"/>
      <c r="D28" s="401"/>
      <c r="E28" s="401"/>
      <c r="F28" s="401"/>
      <c r="G28" s="401"/>
      <c r="H28" s="401"/>
      <c r="I28" s="401"/>
      <c r="J28" s="401"/>
      <c r="K28" s="401"/>
      <c r="L28" s="401"/>
      <c r="M28" s="657"/>
      <c r="N28" s="431"/>
      <c r="O28" s="431"/>
      <c r="P28" s="431"/>
      <c r="Q28" s="431"/>
      <c r="R28" s="431"/>
      <c r="S28" s="431"/>
      <c r="T28" s="431"/>
      <c r="U28" s="431"/>
      <c r="V28" s="431"/>
      <c r="W28" s="431"/>
      <c r="X28" s="431"/>
      <c r="Y28" s="431"/>
      <c r="Z28" s="431"/>
      <c r="AA28" s="431"/>
      <c r="AB28" s="435"/>
      <c r="AC28" s="435"/>
      <c r="AJ28" s="553"/>
    </row>
    <row r="29" spans="2:37" ht="15.75" customHeight="1">
      <c r="B29" s="658" t="s">
        <v>533</v>
      </c>
      <c r="C29" s="658"/>
      <c r="D29" s="658"/>
      <c r="E29" s="658"/>
      <c r="F29" s="658"/>
      <c r="G29" s="658"/>
      <c r="H29" s="658"/>
      <c r="I29" s="658"/>
      <c r="J29" s="658"/>
      <c r="K29" s="658"/>
      <c r="L29" s="658"/>
      <c r="M29" s="658"/>
      <c r="N29" s="659"/>
      <c r="O29" s="659"/>
      <c r="P29" s="659"/>
      <c r="Q29" s="659"/>
      <c r="R29" s="659"/>
      <c r="S29" s="659"/>
      <c r="T29" s="659"/>
      <c r="U29" s="659"/>
      <c r="V29" s="659"/>
      <c r="W29" s="659"/>
      <c r="X29" s="659"/>
      <c r="Y29" s="659"/>
      <c r="Z29" s="659"/>
      <c r="AA29" s="659"/>
      <c r="AB29" s="660"/>
      <c r="AC29" s="661"/>
      <c r="AD29" s="661"/>
      <c r="AE29" s="661"/>
      <c r="AF29" s="661"/>
      <c r="AG29" s="661"/>
      <c r="AH29" s="661"/>
      <c r="AJ29" s="553"/>
      <c r="AK29" s="661"/>
    </row>
    <row r="30" spans="2:37" ht="12.75" customHeight="1">
      <c r="B30" s="662" t="s">
        <v>534</v>
      </c>
      <c r="C30" s="662"/>
      <c r="D30" s="662"/>
      <c r="E30" s="662"/>
      <c r="F30" s="662"/>
      <c r="G30" s="662"/>
      <c r="H30" s="662"/>
      <c r="I30" s="662"/>
      <c r="J30" s="662"/>
      <c r="K30" s="662"/>
      <c r="L30" s="662"/>
      <c r="M30" s="662"/>
      <c r="N30" s="495"/>
      <c r="O30" s="495"/>
      <c r="P30" s="495"/>
      <c r="Q30" s="495"/>
      <c r="R30" s="495"/>
      <c r="S30" s="495"/>
      <c r="T30" s="495"/>
      <c r="U30" s="495"/>
      <c r="V30" s="495"/>
      <c r="W30" s="495"/>
      <c r="X30" s="495"/>
      <c r="Y30" s="495"/>
      <c r="Z30" s="495"/>
      <c r="AA30" s="495"/>
      <c r="AB30" s="469"/>
      <c r="AC30" s="431"/>
      <c r="AD30" s="431"/>
      <c r="AE30" s="431"/>
      <c r="AF30" s="431"/>
      <c r="AG30" s="431"/>
      <c r="AH30" s="431"/>
      <c r="AJ30" s="553"/>
      <c r="AK30" s="431"/>
    </row>
    <row r="31" spans="2:36" ht="3" customHeight="1">
      <c r="B31" s="656"/>
      <c r="C31" s="401"/>
      <c r="D31" s="401"/>
      <c r="E31" s="401"/>
      <c r="F31" s="401"/>
      <c r="G31" s="401"/>
      <c r="H31" s="401"/>
      <c r="I31" s="401"/>
      <c r="J31" s="401"/>
      <c r="K31" s="401"/>
      <c r="L31" s="401"/>
      <c r="M31" s="657"/>
      <c r="N31" s="431"/>
      <c r="O31" s="431"/>
      <c r="P31" s="431"/>
      <c r="Q31" s="431"/>
      <c r="R31" s="431"/>
      <c r="S31" s="431"/>
      <c r="T31" s="431"/>
      <c r="U31" s="431"/>
      <c r="V31" s="431"/>
      <c r="W31" s="431"/>
      <c r="X31" s="431"/>
      <c r="Y31" s="431"/>
      <c r="Z31" s="431"/>
      <c r="AA31" s="431"/>
      <c r="AB31" s="435"/>
      <c r="AC31" s="435"/>
      <c r="AJ31" s="553"/>
    </row>
    <row r="32" spans="2:36" ht="15.75" customHeight="1">
      <c r="B32" s="663" t="s">
        <v>535</v>
      </c>
      <c r="C32" s="664" t="s">
        <v>536</v>
      </c>
      <c r="D32" s="664"/>
      <c r="E32" s="665" t="s">
        <v>537</v>
      </c>
      <c r="F32" s="664" t="s">
        <v>538</v>
      </c>
      <c r="G32" s="664" t="s">
        <v>539</v>
      </c>
      <c r="H32" s="666" t="s">
        <v>540</v>
      </c>
      <c r="I32" s="666"/>
      <c r="J32" s="667" t="s">
        <v>541</v>
      </c>
      <c r="K32" s="667" t="s">
        <v>542</v>
      </c>
      <c r="L32" s="668" t="s">
        <v>543</v>
      </c>
      <c r="M32" s="668"/>
      <c r="N32" s="669"/>
      <c r="O32" s="669"/>
      <c r="P32" s="669"/>
      <c r="Q32" s="669"/>
      <c r="R32" s="669"/>
      <c r="S32" s="669"/>
      <c r="T32" s="669"/>
      <c r="U32" s="669"/>
      <c r="V32" s="669"/>
      <c r="W32" s="669"/>
      <c r="X32" s="669"/>
      <c r="Y32" s="669"/>
      <c r="Z32" s="669"/>
      <c r="AA32" s="669"/>
      <c r="AB32" s="669"/>
      <c r="AJ32" s="553"/>
    </row>
    <row r="33" spans="2:36" ht="15.75" customHeight="1">
      <c r="B33" s="670" t="s">
        <v>544</v>
      </c>
      <c r="C33" s="671" t="s">
        <v>200</v>
      </c>
      <c r="D33" s="671"/>
      <c r="E33" s="672" t="s">
        <v>200</v>
      </c>
      <c r="F33" s="671" t="s">
        <v>545</v>
      </c>
      <c r="G33" s="671" t="s">
        <v>546</v>
      </c>
      <c r="H33" s="673" t="s">
        <v>547</v>
      </c>
      <c r="I33" s="673"/>
      <c r="J33" s="674" t="s">
        <v>548</v>
      </c>
      <c r="K33" s="674" t="s">
        <v>549</v>
      </c>
      <c r="L33" s="675" t="s">
        <v>550</v>
      </c>
      <c r="M33" s="675"/>
      <c r="N33" s="669"/>
      <c r="O33" s="669"/>
      <c r="P33" s="669"/>
      <c r="Q33" s="669"/>
      <c r="R33" s="669"/>
      <c r="S33" s="669"/>
      <c r="T33" s="669"/>
      <c r="U33" s="669"/>
      <c r="V33" s="669"/>
      <c r="W33" s="669"/>
      <c r="X33" s="669"/>
      <c r="Y33" s="669"/>
      <c r="Z33" s="669"/>
      <c r="AA33" s="669"/>
      <c r="AB33" s="669"/>
      <c r="AD33" s="613"/>
      <c r="AE33" s="511"/>
      <c r="AF33" s="511"/>
      <c r="AG33" s="522"/>
      <c r="AJ33" s="553"/>
    </row>
    <row r="34" spans="2:36" ht="15.75" customHeight="1">
      <c r="B34" s="676"/>
      <c r="C34" s="677"/>
      <c r="D34" s="677"/>
      <c r="E34" s="677"/>
      <c r="F34" s="677" t="s">
        <v>200</v>
      </c>
      <c r="G34" s="677" t="s">
        <v>200</v>
      </c>
      <c r="H34" s="678"/>
      <c r="I34" s="678"/>
      <c r="J34" s="679" t="s">
        <v>551</v>
      </c>
      <c r="K34" s="679" t="s">
        <v>546</v>
      </c>
      <c r="L34" s="680" t="s">
        <v>552</v>
      </c>
      <c r="M34" s="680"/>
      <c r="N34" s="669"/>
      <c r="O34" s="669"/>
      <c r="P34" s="669"/>
      <c r="Q34" s="669"/>
      <c r="R34" s="669"/>
      <c r="S34" s="669"/>
      <c r="T34" s="669"/>
      <c r="U34" s="669"/>
      <c r="V34" s="669"/>
      <c r="W34" s="669"/>
      <c r="X34" s="669"/>
      <c r="Y34" s="669"/>
      <c r="Z34" s="669"/>
      <c r="AA34" s="669"/>
      <c r="AB34" s="669"/>
      <c r="AD34" s="613"/>
      <c r="AE34" s="511"/>
      <c r="AF34" s="511"/>
      <c r="AG34" s="522"/>
      <c r="AJ34" s="512"/>
    </row>
    <row r="35" spans="2:36" ht="17.25" customHeight="1">
      <c r="B35" s="681">
        <v>1</v>
      </c>
      <c r="C35" s="682"/>
      <c r="D35" s="682"/>
      <c r="E35" s="683"/>
      <c r="F35" s="683"/>
      <c r="G35" s="683"/>
      <c r="H35" s="683"/>
      <c r="I35" s="684"/>
      <c r="J35" s="684"/>
      <c r="K35" s="684"/>
      <c r="L35" s="683"/>
      <c r="M35" s="685"/>
      <c r="N35" s="669"/>
      <c r="O35" s="669"/>
      <c r="P35" s="669"/>
      <c r="Q35" s="669"/>
      <c r="R35" s="669"/>
      <c r="S35" s="669"/>
      <c r="T35" s="669"/>
      <c r="U35" s="669"/>
      <c r="V35" s="669"/>
      <c r="W35" s="669"/>
      <c r="X35" s="669"/>
      <c r="Y35" s="669"/>
      <c r="Z35" s="669"/>
      <c r="AA35" s="669"/>
      <c r="AB35" s="669"/>
      <c r="AD35" s="613"/>
      <c r="AE35" s="511"/>
      <c r="AF35" s="511"/>
      <c r="AG35" s="522"/>
      <c r="AJ35" s="512"/>
    </row>
    <row r="36" spans="2:36" ht="17.25" customHeight="1">
      <c r="B36" s="681">
        <v>2</v>
      </c>
      <c r="C36" s="682"/>
      <c r="D36" s="682"/>
      <c r="E36" s="683"/>
      <c r="F36" s="683"/>
      <c r="G36" s="683"/>
      <c r="H36" s="683"/>
      <c r="I36" s="684"/>
      <c r="J36" s="684"/>
      <c r="K36" s="684"/>
      <c r="L36" s="683"/>
      <c r="M36" s="685"/>
      <c r="N36" s="669"/>
      <c r="O36" s="669"/>
      <c r="P36" s="669"/>
      <c r="Q36" s="669"/>
      <c r="R36" s="669"/>
      <c r="S36" s="669"/>
      <c r="T36" s="669"/>
      <c r="U36" s="669"/>
      <c r="V36" s="669"/>
      <c r="W36" s="669"/>
      <c r="X36" s="669"/>
      <c r="Y36" s="669"/>
      <c r="Z36" s="669"/>
      <c r="AA36" s="669"/>
      <c r="AB36" s="669"/>
      <c r="AD36" s="613"/>
      <c r="AE36" s="511"/>
      <c r="AF36" s="511"/>
      <c r="AG36" s="522"/>
      <c r="AJ36" s="512"/>
    </row>
    <row r="37" spans="2:36" ht="17.25" customHeight="1">
      <c r="B37" s="681">
        <v>3</v>
      </c>
      <c r="C37" s="682"/>
      <c r="D37" s="682"/>
      <c r="E37" s="683"/>
      <c r="F37" s="683"/>
      <c r="G37" s="683"/>
      <c r="H37" s="683"/>
      <c r="I37" s="684"/>
      <c r="J37" s="684"/>
      <c r="K37" s="684"/>
      <c r="L37" s="683"/>
      <c r="M37" s="685"/>
      <c r="N37" s="669"/>
      <c r="O37" s="669"/>
      <c r="P37" s="669"/>
      <c r="Q37" s="669"/>
      <c r="R37" s="669"/>
      <c r="S37" s="669"/>
      <c r="T37" s="669"/>
      <c r="U37" s="669"/>
      <c r="V37" s="669"/>
      <c r="W37" s="669"/>
      <c r="X37" s="669"/>
      <c r="Y37" s="669"/>
      <c r="Z37" s="669"/>
      <c r="AA37" s="669"/>
      <c r="AB37" s="669"/>
      <c r="AD37" s="613"/>
      <c r="AE37" s="511"/>
      <c r="AF37" s="511"/>
      <c r="AG37" s="522"/>
      <c r="AJ37" s="512"/>
    </row>
    <row r="38" spans="2:36" ht="17.25" customHeight="1">
      <c r="B38" s="681">
        <v>4</v>
      </c>
      <c r="C38" s="682"/>
      <c r="D38" s="682"/>
      <c r="E38" s="683"/>
      <c r="F38" s="683"/>
      <c r="G38" s="683"/>
      <c r="H38" s="683"/>
      <c r="I38" s="684"/>
      <c r="J38" s="684"/>
      <c r="K38" s="684"/>
      <c r="L38" s="683"/>
      <c r="M38" s="685"/>
      <c r="N38" s="669"/>
      <c r="O38" s="669"/>
      <c r="P38" s="669"/>
      <c r="Q38" s="669"/>
      <c r="R38" s="669"/>
      <c r="S38" s="669"/>
      <c r="T38" s="669"/>
      <c r="U38" s="669"/>
      <c r="V38" s="669"/>
      <c r="W38" s="669"/>
      <c r="X38" s="669"/>
      <c r="Y38" s="669"/>
      <c r="Z38" s="669"/>
      <c r="AA38" s="669"/>
      <c r="AB38" s="669"/>
      <c r="AD38" s="613"/>
      <c r="AE38" s="511"/>
      <c r="AF38" s="511"/>
      <c r="AG38" s="522"/>
      <c r="AJ38" s="512"/>
    </row>
    <row r="39" spans="2:36" ht="17.25" customHeight="1">
      <c r="B39" s="681">
        <v>5</v>
      </c>
      <c r="C39" s="682"/>
      <c r="D39" s="682"/>
      <c r="E39" s="683"/>
      <c r="F39" s="683"/>
      <c r="G39" s="683"/>
      <c r="H39" s="683"/>
      <c r="I39" s="684"/>
      <c r="J39" s="684"/>
      <c r="K39" s="684"/>
      <c r="L39" s="683"/>
      <c r="M39" s="685"/>
      <c r="N39" s="669"/>
      <c r="O39" s="669"/>
      <c r="P39" s="669"/>
      <c r="Q39" s="669"/>
      <c r="R39" s="669"/>
      <c r="S39" s="669"/>
      <c r="T39" s="669"/>
      <c r="U39" s="669"/>
      <c r="V39" s="669"/>
      <c r="W39" s="669"/>
      <c r="X39" s="669"/>
      <c r="Y39" s="669"/>
      <c r="Z39" s="669"/>
      <c r="AA39" s="669"/>
      <c r="AB39" s="669"/>
      <c r="AD39" s="613"/>
      <c r="AE39" s="511"/>
      <c r="AF39" s="511"/>
      <c r="AG39" s="522"/>
      <c r="AJ39" s="512"/>
    </row>
    <row r="40" spans="2:36" ht="17.25" customHeight="1">
      <c r="B40" s="681">
        <v>6</v>
      </c>
      <c r="C40" s="682"/>
      <c r="D40" s="682"/>
      <c r="E40" s="686"/>
      <c r="F40" s="687"/>
      <c r="G40" s="687"/>
      <c r="H40" s="682"/>
      <c r="I40" s="682"/>
      <c r="J40" s="688"/>
      <c r="K40" s="688"/>
      <c r="L40" s="689"/>
      <c r="M40" s="689"/>
      <c r="N40" s="495"/>
      <c r="O40" s="495"/>
      <c r="P40" s="495"/>
      <c r="Q40" s="495"/>
      <c r="R40" s="495"/>
      <c r="S40" s="495"/>
      <c r="T40" s="495"/>
      <c r="U40" s="495"/>
      <c r="V40" s="495"/>
      <c r="W40" s="495"/>
      <c r="X40" s="495"/>
      <c r="Y40" s="495"/>
      <c r="Z40" s="495"/>
      <c r="AA40" s="495"/>
      <c r="AB40" s="469"/>
      <c r="AD40" s="613"/>
      <c r="AE40" s="511"/>
      <c r="AF40" s="511"/>
      <c r="AG40" s="522"/>
      <c r="AJ40" s="512"/>
    </row>
    <row r="41" spans="2:36" ht="17.25" customHeight="1">
      <c r="B41" s="681">
        <v>7</v>
      </c>
      <c r="C41" s="682"/>
      <c r="D41" s="682"/>
      <c r="E41" s="686"/>
      <c r="F41" s="687"/>
      <c r="G41" s="687"/>
      <c r="H41" s="686"/>
      <c r="I41" s="688"/>
      <c r="J41" s="688"/>
      <c r="K41" s="688"/>
      <c r="L41" s="686"/>
      <c r="M41" s="690"/>
      <c r="N41" s="495"/>
      <c r="O41" s="495"/>
      <c r="P41" s="495"/>
      <c r="Q41" s="495"/>
      <c r="R41" s="495"/>
      <c r="S41" s="495"/>
      <c r="T41" s="495"/>
      <c r="U41" s="495"/>
      <c r="V41" s="495"/>
      <c r="W41" s="495"/>
      <c r="X41" s="495"/>
      <c r="Y41" s="495"/>
      <c r="Z41" s="495"/>
      <c r="AA41" s="495"/>
      <c r="AB41" s="469"/>
      <c r="AD41" s="613"/>
      <c r="AE41" s="511"/>
      <c r="AF41" s="511"/>
      <c r="AG41" s="522"/>
      <c r="AJ41" s="512"/>
    </row>
    <row r="42" spans="2:36" ht="17.25" customHeight="1">
      <c r="B42" s="681">
        <v>8</v>
      </c>
      <c r="C42" s="682"/>
      <c r="D42" s="682"/>
      <c r="E42" s="686"/>
      <c r="F42" s="682"/>
      <c r="G42" s="682"/>
      <c r="H42" s="682"/>
      <c r="I42" s="682"/>
      <c r="J42" s="688"/>
      <c r="K42" s="688"/>
      <c r="L42" s="689"/>
      <c r="M42" s="689"/>
      <c r="N42" s="495"/>
      <c r="O42" s="495"/>
      <c r="P42" s="495"/>
      <c r="Q42" s="495"/>
      <c r="R42" s="495"/>
      <c r="S42" s="495"/>
      <c r="T42" s="495"/>
      <c r="U42" s="495"/>
      <c r="V42" s="495"/>
      <c r="W42" s="495"/>
      <c r="X42" s="495"/>
      <c r="Y42" s="495"/>
      <c r="Z42" s="495"/>
      <c r="AA42" s="495"/>
      <c r="AB42" s="469"/>
      <c r="AD42" s="613"/>
      <c r="AE42" s="511"/>
      <c r="AF42" s="511"/>
      <c r="AG42" s="522"/>
      <c r="AJ42" s="512"/>
    </row>
    <row r="43" spans="2:36" ht="17.25" customHeight="1">
      <c r="B43" s="681">
        <v>9</v>
      </c>
      <c r="C43" s="682"/>
      <c r="D43" s="682"/>
      <c r="E43" s="686"/>
      <c r="F43" s="682"/>
      <c r="G43" s="682"/>
      <c r="H43" s="686"/>
      <c r="I43" s="688"/>
      <c r="J43" s="688"/>
      <c r="K43" s="688"/>
      <c r="L43" s="686"/>
      <c r="M43" s="690"/>
      <c r="N43" s="495"/>
      <c r="O43" s="495"/>
      <c r="P43" s="495"/>
      <c r="Q43" s="495"/>
      <c r="R43" s="495"/>
      <c r="S43" s="495"/>
      <c r="T43" s="495"/>
      <c r="U43" s="495"/>
      <c r="V43" s="495"/>
      <c r="W43" s="495"/>
      <c r="X43" s="495"/>
      <c r="Y43" s="495"/>
      <c r="Z43" s="495"/>
      <c r="AA43" s="495"/>
      <c r="AB43" s="469"/>
      <c r="AD43" s="613"/>
      <c r="AE43" s="511"/>
      <c r="AF43" s="511"/>
      <c r="AG43" s="522"/>
      <c r="AJ43" s="512"/>
    </row>
    <row r="44" spans="2:36" ht="17.25" customHeight="1">
      <c r="B44" s="681">
        <v>10</v>
      </c>
      <c r="C44" s="682"/>
      <c r="D44" s="682"/>
      <c r="E44" s="686"/>
      <c r="F44" s="682"/>
      <c r="G44" s="682"/>
      <c r="H44" s="686"/>
      <c r="I44" s="688"/>
      <c r="J44" s="688"/>
      <c r="K44" s="688"/>
      <c r="L44" s="686"/>
      <c r="M44" s="690"/>
      <c r="N44" s="495"/>
      <c r="O44" s="495"/>
      <c r="P44" s="495"/>
      <c r="Q44" s="495"/>
      <c r="R44" s="495"/>
      <c r="S44" s="495"/>
      <c r="T44" s="495"/>
      <c r="U44" s="495"/>
      <c r="V44" s="495"/>
      <c r="W44" s="495"/>
      <c r="X44" s="495"/>
      <c r="Y44" s="495"/>
      <c r="Z44" s="495"/>
      <c r="AA44" s="495"/>
      <c r="AB44" s="469"/>
      <c r="AD44" s="613"/>
      <c r="AE44" s="511"/>
      <c r="AF44" s="511"/>
      <c r="AG44" s="522"/>
      <c r="AJ44" s="512"/>
    </row>
    <row r="45" spans="2:36" ht="17.25" customHeight="1">
      <c r="B45" s="681">
        <v>11</v>
      </c>
      <c r="C45" s="682"/>
      <c r="D45" s="682"/>
      <c r="E45" s="686"/>
      <c r="F45" s="682"/>
      <c r="G45" s="682"/>
      <c r="H45" s="682"/>
      <c r="I45" s="682"/>
      <c r="J45" s="688"/>
      <c r="K45" s="688"/>
      <c r="L45" s="689"/>
      <c r="M45" s="689"/>
      <c r="N45" s="495"/>
      <c r="O45" s="495"/>
      <c r="P45" s="495"/>
      <c r="Q45" s="495"/>
      <c r="R45" s="495"/>
      <c r="S45" s="495"/>
      <c r="T45" s="495"/>
      <c r="U45" s="495"/>
      <c r="V45" s="495"/>
      <c r="W45" s="495"/>
      <c r="X45" s="495"/>
      <c r="Y45" s="495"/>
      <c r="Z45" s="495"/>
      <c r="AA45" s="495"/>
      <c r="AB45" s="469"/>
      <c r="AD45" s="613"/>
      <c r="AE45" s="511"/>
      <c r="AF45" s="511"/>
      <c r="AG45" s="522"/>
      <c r="AJ45" s="512"/>
    </row>
    <row r="46" spans="2:33" ht="17.25" customHeight="1">
      <c r="B46" s="681">
        <v>12</v>
      </c>
      <c r="C46" s="682"/>
      <c r="D46" s="682"/>
      <c r="E46" s="686"/>
      <c r="F46" s="682"/>
      <c r="G46" s="682"/>
      <c r="H46" s="682"/>
      <c r="I46" s="682"/>
      <c r="J46" s="688"/>
      <c r="K46" s="688"/>
      <c r="L46" s="689"/>
      <c r="M46" s="689"/>
      <c r="N46" s="495"/>
      <c r="O46" s="495"/>
      <c r="P46" s="495"/>
      <c r="Q46" s="495"/>
      <c r="R46" s="495"/>
      <c r="S46" s="495"/>
      <c r="T46" s="495"/>
      <c r="U46" s="495"/>
      <c r="V46" s="495"/>
      <c r="W46" s="495"/>
      <c r="X46" s="495"/>
      <c r="Y46" s="495"/>
      <c r="Z46" s="495"/>
      <c r="AA46" s="495"/>
      <c r="AB46" s="469"/>
      <c r="AD46" s="613"/>
      <c r="AE46" s="511">
        <f>DATA!C33</f>
        <v>0</v>
      </c>
      <c r="AF46" s="511"/>
      <c r="AG46" s="522"/>
    </row>
    <row r="47" spans="2:33" ht="6" customHeight="1">
      <c r="B47" s="656"/>
      <c r="C47" s="401"/>
      <c r="D47" s="401"/>
      <c r="E47" s="401"/>
      <c r="F47" s="401"/>
      <c r="G47" s="401"/>
      <c r="H47" s="691"/>
      <c r="I47" s="691"/>
      <c r="J47" s="401"/>
      <c r="K47" s="401"/>
      <c r="L47" s="401"/>
      <c r="M47" s="657"/>
      <c r="N47" s="431"/>
      <c r="O47" s="431"/>
      <c r="P47" s="431"/>
      <c r="Q47" s="431"/>
      <c r="R47" s="431"/>
      <c r="S47" s="431"/>
      <c r="T47" s="431"/>
      <c r="U47" s="431"/>
      <c r="V47" s="431"/>
      <c r="W47" s="431"/>
      <c r="X47" s="431"/>
      <c r="Y47" s="431"/>
      <c r="Z47" s="431"/>
      <c r="AA47" s="431"/>
      <c r="AB47" s="435"/>
      <c r="AD47" s="613"/>
      <c r="AE47" s="511">
        <f>DATA!C34</f>
        <v>0</v>
      </c>
      <c r="AF47" s="511"/>
      <c r="AG47" s="522"/>
    </row>
    <row r="48" spans="2:38" ht="13.5" customHeight="1">
      <c r="B48" s="692">
        <f>AE51</f>
        <v>0</v>
      </c>
      <c r="C48" s="692"/>
      <c r="D48" s="692"/>
      <c r="E48" s="692"/>
      <c r="F48" s="692"/>
      <c r="G48" s="692"/>
      <c r="H48" s="692"/>
      <c r="I48" s="692"/>
      <c r="J48" s="692"/>
      <c r="K48" s="692"/>
      <c r="L48" s="692"/>
      <c r="M48" s="692"/>
      <c r="N48" s="435"/>
      <c r="O48" s="435"/>
      <c r="P48" s="435"/>
      <c r="Q48" s="435"/>
      <c r="R48" s="435"/>
      <c r="S48" s="435"/>
      <c r="T48" s="435"/>
      <c r="U48" s="435"/>
      <c r="V48" s="435"/>
      <c r="W48" s="435"/>
      <c r="X48" s="435"/>
      <c r="Y48" s="435"/>
      <c r="Z48" s="435"/>
      <c r="AA48" s="435"/>
      <c r="AB48" s="693"/>
      <c r="AC48" s="661"/>
      <c r="AD48" s="694"/>
      <c r="AE48" s="695">
        <f>CONCATENATE(AB51,"",AC51)</f>
        <v>0</v>
      </c>
      <c r="AF48" s="661"/>
      <c r="AG48" s="661"/>
      <c r="AH48" s="661"/>
      <c r="AI48" s="661"/>
      <c r="AJ48" s="661"/>
      <c r="AK48" s="696"/>
      <c r="AL48" s="435"/>
    </row>
    <row r="49" spans="2:38" ht="13.5" customHeight="1">
      <c r="B49" s="692"/>
      <c r="C49" s="692"/>
      <c r="D49" s="692"/>
      <c r="E49" s="692"/>
      <c r="F49" s="692"/>
      <c r="G49" s="692"/>
      <c r="H49" s="692"/>
      <c r="I49" s="692"/>
      <c r="J49" s="692"/>
      <c r="K49" s="692"/>
      <c r="L49" s="692"/>
      <c r="M49" s="692"/>
      <c r="N49" s="693"/>
      <c r="O49" s="693"/>
      <c r="P49" s="693"/>
      <c r="Q49" s="693"/>
      <c r="R49" s="693"/>
      <c r="S49" s="693"/>
      <c r="T49" s="693"/>
      <c r="U49" s="693"/>
      <c r="V49" s="693"/>
      <c r="W49" s="693"/>
      <c r="X49" s="693"/>
      <c r="Y49" s="693"/>
      <c r="Z49" s="693"/>
      <c r="AA49" s="693"/>
      <c r="AB49" s="577"/>
      <c r="AC49" s="661"/>
      <c r="AD49" s="661"/>
      <c r="AE49" s="661"/>
      <c r="AF49" s="661"/>
      <c r="AG49" s="661"/>
      <c r="AH49" s="661"/>
      <c r="AI49" s="661"/>
      <c r="AJ49" s="661"/>
      <c r="AK49" s="661"/>
      <c r="AL49" s="435"/>
    </row>
    <row r="50" spans="2:38" ht="13.5" customHeight="1">
      <c r="B50" s="692"/>
      <c r="C50" s="692"/>
      <c r="D50" s="692"/>
      <c r="E50" s="692"/>
      <c r="F50" s="692"/>
      <c r="G50" s="692"/>
      <c r="H50" s="692"/>
      <c r="I50" s="692"/>
      <c r="J50" s="692"/>
      <c r="K50" s="692"/>
      <c r="L50" s="692"/>
      <c r="M50" s="692"/>
      <c r="N50" s="697"/>
      <c r="O50" s="697"/>
      <c r="P50" s="697"/>
      <c r="Q50" s="697"/>
      <c r="R50" s="697"/>
      <c r="S50" s="697"/>
      <c r="T50" s="697"/>
      <c r="U50" s="697"/>
      <c r="V50" s="697"/>
      <c r="W50" s="697"/>
      <c r="X50" s="697"/>
      <c r="Y50" s="697"/>
      <c r="Z50" s="697"/>
      <c r="AA50" s="697"/>
      <c r="AB50" s="469" t="s">
        <v>200</v>
      </c>
      <c r="AC50" s="319"/>
      <c r="AD50" s="319"/>
      <c r="AE50" s="319"/>
      <c r="AF50" s="319"/>
      <c r="AG50" s="319"/>
      <c r="AH50" s="319"/>
      <c r="AI50" s="319"/>
      <c r="AJ50" s="319"/>
      <c r="AK50" s="570"/>
      <c r="AL50" s="435"/>
    </row>
    <row r="51" spans="2:38" ht="13.5" customHeight="1">
      <c r="B51" s="692"/>
      <c r="C51" s="692"/>
      <c r="D51" s="692"/>
      <c r="E51" s="692"/>
      <c r="F51" s="692"/>
      <c r="G51" s="692"/>
      <c r="H51" s="692"/>
      <c r="I51" s="692"/>
      <c r="J51" s="692"/>
      <c r="K51" s="692"/>
      <c r="L51" s="692"/>
      <c r="M51" s="692"/>
      <c r="N51" s="693"/>
      <c r="O51" s="693"/>
      <c r="P51" s="693"/>
      <c r="Q51" s="693"/>
      <c r="R51" s="693"/>
      <c r="S51" s="693"/>
      <c r="T51" s="693"/>
      <c r="U51" s="693"/>
      <c r="V51" s="693"/>
      <c r="W51" s="693"/>
      <c r="X51" s="693"/>
      <c r="Y51" s="693"/>
      <c r="Z51" s="693"/>
      <c r="AA51" s="693"/>
      <c r="AB51" s="698">
        <f>M22</f>
        <v>78309</v>
      </c>
      <c r="AC51" s="661" t="s">
        <v>553</v>
      </c>
      <c r="AD51" s="661">
        <f>CONCATENATE(AB50," ",C50)</f>
        <v>0</v>
      </c>
      <c r="AE51" s="661">
        <f>CONCATENATE("          I ",AE46," working as ",AE47," do  hereby  certify  that  the  sum  of Rs. ",AE48," Rupees in words ",AD54," deducted   at  source   and  paid  to  the credit  of the central Government.   I  further certify  that  the  Informtion givin above is true and  correct based on the books of account, documents and other available records.")</f>
        <v>0</v>
      </c>
      <c r="AF51" s="661"/>
      <c r="AG51" s="661"/>
      <c r="AH51" s="661"/>
      <c r="AI51" s="661"/>
      <c r="AJ51" s="661"/>
      <c r="AK51" s="661"/>
      <c r="AL51" s="435"/>
    </row>
    <row r="52" spans="2:38" ht="13.5" customHeight="1">
      <c r="B52" s="692"/>
      <c r="C52" s="692"/>
      <c r="D52" s="692"/>
      <c r="E52" s="692"/>
      <c r="F52" s="692"/>
      <c r="G52" s="692"/>
      <c r="H52" s="692"/>
      <c r="I52" s="692"/>
      <c r="J52" s="692"/>
      <c r="K52" s="692"/>
      <c r="L52" s="692"/>
      <c r="M52" s="692"/>
      <c r="N52" s="693"/>
      <c r="O52" s="693"/>
      <c r="P52" s="693"/>
      <c r="Q52" s="693"/>
      <c r="R52" s="693"/>
      <c r="S52" s="693"/>
      <c r="T52" s="693"/>
      <c r="U52" s="693"/>
      <c r="V52" s="693"/>
      <c r="W52" s="693"/>
      <c r="X52" s="693"/>
      <c r="Y52" s="693"/>
      <c r="Z52" s="693"/>
      <c r="AA52" s="693"/>
      <c r="AB52" s="577"/>
      <c r="AC52" s="661"/>
      <c r="AD52" s="661"/>
      <c r="AE52" s="661"/>
      <c r="AF52" s="661"/>
      <c r="AG52" s="661"/>
      <c r="AH52" s="661"/>
      <c r="AI52" s="661"/>
      <c r="AJ52" s="661"/>
      <c r="AK52" s="661"/>
      <c r="AL52" s="435"/>
    </row>
    <row r="53" spans="2:38" ht="10.5" customHeight="1">
      <c r="B53" s="699"/>
      <c r="C53" s="700"/>
      <c r="D53" s="700"/>
      <c r="E53" s="700"/>
      <c r="F53" s="700"/>
      <c r="G53" s="700"/>
      <c r="H53" s="700"/>
      <c r="I53" s="700"/>
      <c r="J53" s="700"/>
      <c r="K53" s="700"/>
      <c r="L53" s="700"/>
      <c r="M53" s="701"/>
      <c r="N53" s="579"/>
      <c r="O53" s="579"/>
      <c r="P53" s="579"/>
      <c r="Q53" s="579"/>
      <c r="R53" s="579"/>
      <c r="S53" s="579"/>
      <c r="T53" s="579"/>
      <c r="U53" s="579"/>
      <c r="V53" s="579"/>
      <c r="W53" s="579"/>
      <c r="X53" s="579"/>
      <c r="Y53" s="579"/>
      <c r="Z53" s="579"/>
      <c r="AA53" s="579"/>
      <c r="AB53" s="693"/>
      <c r="AC53" s="577"/>
      <c r="AD53" s="577"/>
      <c r="AE53" s="577"/>
      <c r="AF53" s="577"/>
      <c r="AG53" s="577"/>
      <c r="AH53" s="577"/>
      <c r="AI53" s="693"/>
      <c r="AJ53" s="693"/>
      <c r="AK53" s="693"/>
      <c r="AL53" s="435"/>
    </row>
    <row r="54" spans="2:38" ht="15.75" customHeight="1">
      <c r="B54" s="656"/>
      <c r="C54" s="401"/>
      <c r="D54" s="401"/>
      <c r="E54" s="401"/>
      <c r="F54" s="401"/>
      <c r="G54" s="401"/>
      <c r="H54" s="401"/>
      <c r="I54" s="401"/>
      <c r="J54" s="401"/>
      <c r="K54" s="401"/>
      <c r="L54" s="401"/>
      <c r="M54" s="657"/>
      <c r="N54" s="431"/>
      <c r="O54" s="431"/>
      <c r="P54" s="431"/>
      <c r="Q54" s="431"/>
      <c r="R54" s="431"/>
      <c r="S54" s="431"/>
      <c r="T54" s="431"/>
      <c r="U54" s="431"/>
      <c r="V54" s="431"/>
      <c r="W54" s="431"/>
      <c r="X54" s="431"/>
      <c r="Y54" s="431"/>
      <c r="Z54" s="431"/>
      <c r="AA54" s="431"/>
      <c r="AB54" s="435"/>
      <c r="AC54" s="435"/>
      <c r="AD54" s="435">
        <f>F236</f>
        <v>0</v>
      </c>
      <c r="AE54" s="435"/>
      <c r="AF54" s="435"/>
      <c r="AG54" s="435"/>
      <c r="AH54" s="435"/>
      <c r="AI54" s="435"/>
      <c r="AJ54" s="435"/>
      <c r="AK54" s="435"/>
      <c r="AL54" s="435"/>
    </row>
    <row r="55" spans="2:38" ht="15.75" customHeight="1">
      <c r="B55" s="702"/>
      <c r="C55" s="378"/>
      <c r="D55" s="378"/>
      <c r="E55" s="378"/>
      <c r="F55" s="378"/>
      <c r="G55" s="378" t="s">
        <v>554</v>
      </c>
      <c r="H55" s="378"/>
      <c r="I55" s="378"/>
      <c r="J55" s="378"/>
      <c r="K55" s="378"/>
      <c r="L55" s="378"/>
      <c r="M55" s="703"/>
      <c r="N55" s="431"/>
      <c r="O55" s="431"/>
      <c r="P55" s="431"/>
      <c r="Q55" s="431"/>
      <c r="R55" s="431"/>
      <c r="S55" s="431"/>
      <c r="T55" s="431"/>
      <c r="U55" s="431"/>
      <c r="V55" s="431"/>
      <c r="W55" s="431"/>
      <c r="X55" s="431"/>
      <c r="Y55" s="431"/>
      <c r="Z55" s="431"/>
      <c r="AA55" s="431"/>
      <c r="AB55" s="435"/>
      <c r="AC55" s="661"/>
      <c r="AD55" s="661"/>
      <c r="AE55" s="661"/>
      <c r="AF55" s="661"/>
      <c r="AG55" s="661"/>
      <c r="AH55" s="661"/>
      <c r="AI55" s="435"/>
      <c r="AJ55" s="435"/>
      <c r="AK55" s="435"/>
      <c r="AL55" s="435"/>
    </row>
    <row r="56" spans="2:38" ht="6" customHeight="1">
      <c r="B56" s="702"/>
      <c r="C56" s="378"/>
      <c r="D56" s="378"/>
      <c r="E56" s="378"/>
      <c r="F56" s="378"/>
      <c r="G56" s="378"/>
      <c r="H56" s="378"/>
      <c r="I56" s="378"/>
      <c r="J56" s="378"/>
      <c r="K56" s="378"/>
      <c r="L56" s="378"/>
      <c r="M56" s="703"/>
      <c r="N56" s="431"/>
      <c r="O56" s="431"/>
      <c r="P56" s="431"/>
      <c r="Q56" s="431"/>
      <c r="R56" s="431"/>
      <c r="S56" s="431"/>
      <c r="T56" s="431"/>
      <c r="U56" s="431"/>
      <c r="V56" s="431"/>
      <c r="W56" s="431"/>
      <c r="X56" s="431"/>
      <c r="Y56" s="431"/>
      <c r="Z56" s="431"/>
      <c r="AA56" s="431"/>
      <c r="AB56" s="435"/>
      <c r="AC56" s="661"/>
      <c r="AD56" s="661"/>
      <c r="AE56" s="661"/>
      <c r="AF56" s="661"/>
      <c r="AG56" s="661"/>
      <c r="AH56" s="661"/>
      <c r="AI56" s="435"/>
      <c r="AJ56" s="435"/>
      <c r="AK56" s="435"/>
      <c r="AL56" s="435"/>
    </row>
    <row r="57" spans="2:38" ht="12" customHeight="1">
      <c r="B57" s="704" t="s">
        <v>555</v>
      </c>
      <c r="C57" s="704"/>
      <c r="D57" s="378">
        <f>DATA!L5</f>
        <v>0</v>
      </c>
      <c r="E57" s="378"/>
      <c r="F57" s="378"/>
      <c r="G57" s="378" t="s">
        <v>556</v>
      </c>
      <c r="H57" s="378"/>
      <c r="I57" s="378"/>
      <c r="J57" s="378"/>
      <c r="K57" s="378"/>
      <c r="L57" s="378"/>
      <c r="M57" s="703"/>
      <c r="N57" s="431"/>
      <c r="O57" s="431"/>
      <c r="P57" s="431"/>
      <c r="Q57" s="431"/>
      <c r="R57" s="431"/>
      <c r="S57" s="431"/>
      <c r="T57" s="431"/>
      <c r="U57" s="431"/>
      <c r="V57" s="431"/>
      <c r="W57" s="431"/>
      <c r="X57" s="431"/>
      <c r="Y57" s="431"/>
      <c r="Z57" s="431"/>
      <c r="AA57" s="431"/>
      <c r="AB57" s="435"/>
      <c r="AC57" s="661"/>
      <c r="AD57" s="661"/>
      <c r="AE57" s="661"/>
      <c r="AF57" s="661"/>
      <c r="AG57" s="661"/>
      <c r="AH57" s="661"/>
      <c r="AI57" s="435"/>
      <c r="AJ57" s="435"/>
      <c r="AK57" s="435"/>
      <c r="AL57" s="435"/>
    </row>
    <row r="58" spans="2:38" ht="12" customHeight="1">
      <c r="B58" s="704" t="s">
        <v>557</v>
      </c>
      <c r="C58" s="704"/>
      <c r="D58" s="705">
        <f ca="1">TODAY()</f>
        <v>42780</v>
      </c>
      <c r="E58" s="705"/>
      <c r="F58" s="351"/>
      <c r="G58" s="351" t="s">
        <v>558</v>
      </c>
      <c r="H58" s="351">
        <f>DATA!C33</f>
        <v>0</v>
      </c>
      <c r="I58" s="351"/>
      <c r="J58" s="351"/>
      <c r="K58" s="351"/>
      <c r="L58" s="378"/>
      <c r="M58" s="706"/>
      <c r="N58" s="579"/>
      <c r="O58" s="579"/>
      <c r="P58" s="579"/>
      <c r="Q58" s="579"/>
      <c r="R58" s="579"/>
      <c r="S58" s="579"/>
      <c r="T58" s="579"/>
      <c r="U58" s="579"/>
      <c r="V58" s="579"/>
      <c r="W58" s="579"/>
      <c r="X58" s="579"/>
      <c r="Y58" s="579"/>
      <c r="Z58" s="579"/>
      <c r="AA58" s="579"/>
      <c r="AB58" s="693"/>
      <c r="AC58" s="577"/>
      <c r="AD58" s="577"/>
      <c r="AE58" s="577"/>
      <c r="AF58" s="577"/>
      <c r="AG58" s="577"/>
      <c r="AH58" s="577"/>
      <c r="AI58" s="577"/>
      <c r="AJ58" s="577"/>
      <c r="AK58" s="435"/>
      <c r="AL58" s="435"/>
    </row>
    <row r="59" spans="2:38" ht="12" customHeight="1">
      <c r="B59" s="704"/>
      <c r="C59" s="351"/>
      <c r="D59" s="705"/>
      <c r="E59" s="705"/>
      <c r="F59" s="351"/>
      <c r="G59" s="378" t="s">
        <v>559</v>
      </c>
      <c r="H59" s="351">
        <f>DATA!C34</f>
        <v>0</v>
      </c>
      <c r="I59" s="351"/>
      <c r="J59" s="351"/>
      <c r="K59" s="351"/>
      <c r="L59" s="378"/>
      <c r="M59" s="706"/>
      <c r="N59" s="579"/>
      <c r="O59" s="579"/>
      <c r="P59" s="579"/>
      <c r="Q59" s="579"/>
      <c r="R59" s="579"/>
      <c r="S59" s="579"/>
      <c r="T59" s="579"/>
      <c r="U59" s="579"/>
      <c r="V59" s="579"/>
      <c r="W59" s="579"/>
      <c r="X59" s="579"/>
      <c r="Y59" s="579"/>
      <c r="Z59" s="579"/>
      <c r="AA59" s="579"/>
      <c r="AB59" s="693"/>
      <c r="AC59" s="577"/>
      <c r="AD59" s="577"/>
      <c r="AE59" s="577"/>
      <c r="AF59" s="577"/>
      <c r="AG59" s="577"/>
      <c r="AH59" s="577"/>
      <c r="AI59" s="577"/>
      <c r="AJ59" s="577"/>
      <c r="AK59" s="435"/>
      <c r="AL59" s="435"/>
    </row>
    <row r="60" spans="2:38" ht="12" customHeight="1">
      <c r="B60" s="702"/>
      <c r="C60" s="378"/>
      <c r="D60" s="378"/>
      <c r="E60" s="378"/>
      <c r="F60" s="707"/>
      <c r="L60" s="378"/>
      <c r="M60" s="706"/>
      <c r="N60" s="579"/>
      <c r="O60" s="579"/>
      <c r="P60" s="579"/>
      <c r="Q60" s="579"/>
      <c r="R60" s="579"/>
      <c r="S60" s="579"/>
      <c r="T60" s="579"/>
      <c r="U60" s="579"/>
      <c r="V60" s="579"/>
      <c r="W60" s="579"/>
      <c r="X60" s="579"/>
      <c r="Y60" s="579"/>
      <c r="Z60" s="579"/>
      <c r="AA60" s="579"/>
      <c r="AB60" s="693"/>
      <c r="AC60" s="577"/>
      <c r="AD60" s="577"/>
      <c r="AE60" s="577"/>
      <c r="AF60" s="577"/>
      <c r="AG60" s="577"/>
      <c r="AH60" s="577"/>
      <c r="AI60" s="577"/>
      <c r="AJ60" s="577"/>
      <c r="AK60" s="435"/>
      <c r="AL60" s="435"/>
    </row>
    <row r="61" spans="2:38" ht="4.5" customHeight="1">
      <c r="B61" s="708"/>
      <c r="C61" s="431"/>
      <c r="D61" s="431"/>
      <c r="E61" s="431"/>
      <c r="F61" s="431"/>
      <c r="G61" s="431"/>
      <c r="H61" s="431"/>
      <c r="I61" s="431"/>
      <c r="J61" s="431"/>
      <c r="K61" s="431"/>
      <c r="L61" s="431"/>
      <c r="M61" s="709"/>
      <c r="N61" s="431"/>
      <c r="O61" s="431"/>
      <c r="P61" s="431"/>
      <c r="Q61" s="431"/>
      <c r="R61" s="431"/>
      <c r="S61" s="431"/>
      <c r="T61" s="431"/>
      <c r="U61" s="431"/>
      <c r="V61" s="431"/>
      <c r="W61" s="431"/>
      <c r="X61" s="431"/>
      <c r="Y61" s="431"/>
      <c r="Z61" s="431"/>
      <c r="AA61" s="431"/>
      <c r="AB61" s="435"/>
      <c r="AC61" s="435"/>
      <c r="AD61" s="435"/>
      <c r="AE61" s="435"/>
      <c r="AF61" s="435"/>
      <c r="AG61" s="435"/>
      <c r="AH61" s="435"/>
      <c r="AI61" s="435"/>
      <c r="AJ61" s="435"/>
      <c r="AK61" s="435"/>
      <c r="AL61" s="435"/>
    </row>
    <row r="62" spans="2:28" ht="16.5" customHeight="1">
      <c r="B62" s="710" t="s">
        <v>560</v>
      </c>
      <c r="C62" s="710"/>
      <c r="D62" s="710"/>
      <c r="E62" s="710"/>
      <c r="F62" s="710"/>
      <c r="G62" s="710"/>
      <c r="H62" s="710"/>
      <c r="I62" s="710"/>
      <c r="J62" s="710"/>
      <c r="K62" s="710"/>
      <c r="L62" s="710"/>
      <c r="M62" s="710"/>
      <c r="N62" s="431"/>
      <c r="O62" s="431"/>
      <c r="P62" s="431"/>
      <c r="Q62" s="431"/>
      <c r="R62" s="431"/>
      <c r="S62" s="431"/>
      <c r="T62" s="431"/>
      <c r="U62" s="431"/>
      <c r="V62" s="431"/>
      <c r="W62" s="431"/>
      <c r="X62" s="431"/>
      <c r="Y62" s="431"/>
      <c r="Z62" s="431"/>
      <c r="AA62" s="431"/>
      <c r="AB62" s="435"/>
    </row>
    <row r="63" spans="2:28" ht="7.5" customHeight="1" hidden="1">
      <c r="B63" s="711"/>
      <c r="C63" s="711"/>
      <c r="D63" s="711"/>
      <c r="E63" s="711"/>
      <c r="F63" s="711"/>
      <c r="G63" s="711"/>
      <c r="H63" s="711"/>
      <c r="I63" s="711"/>
      <c r="J63" s="711"/>
      <c r="K63" s="711"/>
      <c r="L63" s="711"/>
      <c r="M63" s="711"/>
      <c r="N63" s="431"/>
      <c r="O63" s="431"/>
      <c r="P63" s="431"/>
      <c r="Q63" s="431"/>
      <c r="R63" s="431"/>
      <c r="S63" s="431"/>
      <c r="T63" s="431"/>
      <c r="U63" s="431"/>
      <c r="V63" s="431"/>
      <c r="W63" s="431"/>
      <c r="X63" s="431"/>
      <c r="Y63" s="431"/>
      <c r="Z63" s="431"/>
      <c r="AA63" s="431"/>
      <c r="AB63" s="435"/>
    </row>
    <row r="64" spans="2:28" ht="7.5" customHeight="1" hidden="1">
      <c r="B64" s="711"/>
      <c r="C64" s="711"/>
      <c r="D64" s="711"/>
      <c r="E64" s="711"/>
      <c r="F64" s="711"/>
      <c r="G64" s="711"/>
      <c r="H64" s="711"/>
      <c r="I64" s="711"/>
      <c r="J64" s="711"/>
      <c r="K64" s="711"/>
      <c r="L64" s="711"/>
      <c r="M64" s="711"/>
      <c r="N64" s="431"/>
      <c r="O64" s="431"/>
      <c r="P64" s="431"/>
      <c r="Q64" s="431"/>
      <c r="R64" s="431"/>
      <c r="S64" s="431"/>
      <c r="T64" s="431"/>
      <c r="U64" s="431"/>
      <c r="V64" s="431"/>
      <c r="W64" s="431"/>
      <c r="X64" s="431"/>
      <c r="Y64" s="431"/>
      <c r="Z64" s="431"/>
      <c r="AA64" s="431"/>
      <c r="AB64" s="435"/>
    </row>
    <row r="65" spans="2:28" ht="12" customHeight="1" hidden="1">
      <c r="B65" s="711"/>
      <c r="C65" s="711"/>
      <c r="D65" s="711"/>
      <c r="E65" s="711"/>
      <c r="F65" s="711"/>
      <c r="G65" s="711"/>
      <c r="H65" s="711"/>
      <c r="I65" s="711"/>
      <c r="J65" s="711"/>
      <c r="K65" s="711"/>
      <c r="L65" s="711"/>
      <c r="M65" s="711"/>
      <c r="N65" s="431"/>
      <c r="O65" s="431"/>
      <c r="P65" s="431"/>
      <c r="Q65" s="431"/>
      <c r="R65" s="431"/>
      <c r="S65" s="431"/>
      <c r="T65" s="431"/>
      <c r="U65" s="431"/>
      <c r="V65" s="431"/>
      <c r="W65" s="431"/>
      <c r="X65" s="431"/>
      <c r="Y65" s="431"/>
      <c r="Z65" s="431"/>
      <c r="AA65" s="431"/>
      <c r="AB65" s="435"/>
    </row>
    <row r="66" spans="2:28" ht="12" customHeight="1" hidden="1">
      <c r="B66" s="711"/>
      <c r="C66" s="711"/>
      <c r="D66" s="711"/>
      <c r="E66" s="711"/>
      <c r="F66" s="711"/>
      <c r="G66" s="711"/>
      <c r="H66" s="711"/>
      <c r="I66" s="711"/>
      <c r="J66" s="711"/>
      <c r="K66" s="711"/>
      <c r="L66" s="711"/>
      <c r="M66" s="711"/>
      <c r="N66" s="431"/>
      <c r="O66" s="431"/>
      <c r="P66" s="431"/>
      <c r="Q66" s="431"/>
      <c r="R66" s="431"/>
      <c r="S66" s="431"/>
      <c r="T66" s="431"/>
      <c r="U66" s="431"/>
      <c r="V66" s="431"/>
      <c r="W66" s="431"/>
      <c r="X66" s="431"/>
      <c r="Y66" s="431"/>
      <c r="Z66" s="431"/>
      <c r="AA66" s="431"/>
      <c r="AB66" s="661"/>
    </row>
    <row r="67" spans="2:28" ht="16.5" customHeight="1" hidden="1">
      <c r="B67" s="711"/>
      <c r="C67" s="711"/>
      <c r="D67" s="711"/>
      <c r="E67" s="711"/>
      <c r="F67" s="711"/>
      <c r="G67" s="711"/>
      <c r="H67" s="711"/>
      <c r="I67" s="711"/>
      <c r="J67" s="711"/>
      <c r="K67" s="711"/>
      <c r="L67" s="711"/>
      <c r="M67" s="711"/>
      <c r="N67" s="711"/>
      <c r="O67" s="711"/>
      <c r="P67" s="711"/>
      <c r="Q67" s="711"/>
      <c r="R67" s="711"/>
      <c r="S67" s="711"/>
      <c r="T67" s="711"/>
      <c r="U67" s="711"/>
      <c r="V67" s="711"/>
      <c r="W67" s="711"/>
      <c r="X67" s="711"/>
      <c r="Y67" s="711"/>
      <c r="Z67" s="711"/>
      <c r="AA67" s="711"/>
      <c r="AB67" s="711"/>
    </row>
    <row r="68" spans="2:28" ht="16.5" customHeight="1" hidden="1">
      <c r="B68" s="711"/>
      <c r="C68" s="711"/>
      <c r="D68" s="711"/>
      <c r="E68" s="711"/>
      <c r="F68" s="711"/>
      <c r="G68" s="711"/>
      <c r="H68" s="711"/>
      <c r="I68" s="711"/>
      <c r="J68" s="711"/>
      <c r="K68" s="711"/>
      <c r="L68" s="711"/>
      <c r="M68" s="711"/>
      <c r="N68" s="711"/>
      <c r="O68" s="711"/>
      <c r="P68" s="711"/>
      <c r="Q68" s="711"/>
      <c r="R68" s="711"/>
      <c r="S68" s="711"/>
      <c r="T68" s="711"/>
      <c r="U68" s="711"/>
      <c r="V68" s="711"/>
      <c r="W68" s="711"/>
      <c r="X68" s="711"/>
      <c r="Y68" s="711"/>
      <c r="Z68" s="711"/>
      <c r="AA68" s="711"/>
      <c r="AB68" s="711"/>
    </row>
    <row r="69" spans="2:28" ht="16.5" customHeight="1" hidden="1">
      <c r="B69" s="711"/>
      <c r="C69" s="711"/>
      <c r="D69" s="711"/>
      <c r="E69" s="711"/>
      <c r="F69" s="711"/>
      <c r="G69" s="711"/>
      <c r="H69" s="711"/>
      <c r="I69" s="711"/>
      <c r="J69" s="711"/>
      <c r="K69" s="711"/>
      <c r="L69" s="711"/>
      <c r="M69" s="711"/>
      <c r="N69" s="711"/>
      <c r="O69" s="711"/>
      <c r="P69" s="711"/>
      <c r="Q69" s="711"/>
      <c r="R69" s="711"/>
      <c r="S69" s="711"/>
      <c r="T69" s="711"/>
      <c r="U69" s="711"/>
      <c r="V69" s="711"/>
      <c r="W69" s="711"/>
      <c r="X69" s="711"/>
      <c r="Y69" s="711"/>
      <c r="Z69" s="711"/>
      <c r="AA69" s="711"/>
      <c r="AB69" s="711"/>
    </row>
    <row r="70" spans="2:28" ht="16.5" customHeight="1" hidden="1">
      <c r="B70" s="711"/>
      <c r="C70" s="711"/>
      <c r="D70" s="711"/>
      <c r="E70" s="711"/>
      <c r="F70" s="711"/>
      <c r="G70" s="711"/>
      <c r="H70" s="711"/>
      <c r="I70" s="711"/>
      <c r="J70" s="711"/>
      <c r="K70" s="711"/>
      <c r="L70" s="711"/>
      <c r="M70" s="711"/>
      <c r="N70" s="711"/>
      <c r="O70" s="711"/>
      <c r="P70" s="711"/>
      <c r="Q70" s="711"/>
      <c r="R70" s="711"/>
      <c r="S70" s="711"/>
      <c r="T70" s="711"/>
      <c r="U70" s="711"/>
      <c r="V70" s="711"/>
      <c r="W70" s="711"/>
      <c r="X70" s="711"/>
      <c r="Y70" s="711"/>
      <c r="Z70" s="711"/>
      <c r="AA70" s="711"/>
      <c r="AB70" s="711"/>
    </row>
    <row r="71" spans="2:28" ht="16.5" customHeight="1" hidden="1">
      <c r="B71" s="711"/>
      <c r="C71" s="711"/>
      <c r="D71" s="711"/>
      <c r="E71" s="711"/>
      <c r="F71" s="711"/>
      <c r="G71" s="711"/>
      <c r="H71" s="711"/>
      <c r="I71" s="711"/>
      <c r="J71" s="711"/>
      <c r="K71" s="711"/>
      <c r="L71" s="711"/>
      <c r="M71" s="711"/>
      <c r="N71" s="711"/>
      <c r="O71" s="711"/>
      <c r="P71" s="711"/>
      <c r="Q71" s="711"/>
      <c r="R71" s="711"/>
      <c r="S71" s="711"/>
      <c r="T71" s="711"/>
      <c r="U71" s="711"/>
      <c r="V71" s="711"/>
      <c r="W71" s="711"/>
      <c r="X71" s="711"/>
      <c r="Y71" s="711"/>
      <c r="Z71" s="711"/>
      <c r="AA71" s="711"/>
      <c r="AB71" s="711"/>
    </row>
    <row r="72" spans="2:28" ht="16.5" customHeight="1" hidden="1">
      <c r="B72" s="711"/>
      <c r="C72" s="711"/>
      <c r="D72" s="711"/>
      <c r="E72" s="711"/>
      <c r="F72" s="711"/>
      <c r="G72" s="711"/>
      <c r="H72" s="711"/>
      <c r="I72" s="711"/>
      <c r="J72" s="711"/>
      <c r="K72" s="711"/>
      <c r="L72" s="711"/>
      <c r="M72" s="711"/>
      <c r="N72" s="711"/>
      <c r="O72" s="711"/>
      <c r="P72" s="711"/>
      <c r="Q72" s="711"/>
      <c r="R72" s="711"/>
      <c r="S72" s="711"/>
      <c r="T72" s="711"/>
      <c r="U72" s="711"/>
      <c r="V72" s="711"/>
      <c r="W72" s="711"/>
      <c r="X72" s="711"/>
      <c r="Y72" s="711"/>
      <c r="Z72" s="711"/>
      <c r="AA72" s="711"/>
      <c r="AB72" s="711"/>
    </row>
    <row r="73" spans="2:28" ht="16.5" customHeight="1" hidden="1">
      <c r="B73" s="711"/>
      <c r="C73" s="711"/>
      <c r="D73" s="711"/>
      <c r="E73" s="711"/>
      <c r="F73" s="711"/>
      <c r="G73" s="711"/>
      <c r="H73" s="711"/>
      <c r="I73" s="711"/>
      <c r="J73" s="711"/>
      <c r="K73" s="711"/>
      <c r="L73" s="711"/>
      <c r="M73" s="711"/>
      <c r="N73" s="711"/>
      <c r="O73" s="711"/>
      <c r="P73" s="711"/>
      <c r="Q73" s="711"/>
      <c r="R73" s="711"/>
      <c r="S73" s="711"/>
      <c r="T73" s="711"/>
      <c r="U73" s="711"/>
      <c r="V73" s="711"/>
      <c r="W73" s="711"/>
      <c r="X73" s="711"/>
      <c r="Y73" s="711"/>
      <c r="Z73" s="711"/>
      <c r="AA73" s="711"/>
      <c r="AB73" s="711"/>
    </row>
    <row r="74" spans="2:28" ht="16.5" customHeight="1" hidden="1">
      <c r="B74" s="711"/>
      <c r="C74" s="711"/>
      <c r="D74" s="711"/>
      <c r="E74" s="711"/>
      <c r="F74" s="711"/>
      <c r="G74" s="711"/>
      <c r="H74" s="711"/>
      <c r="I74" s="711"/>
      <c r="J74" s="711"/>
      <c r="K74" s="711"/>
      <c r="L74" s="711"/>
      <c r="M74" s="711"/>
      <c r="N74" s="711"/>
      <c r="O74" s="711"/>
      <c r="P74" s="711"/>
      <c r="Q74" s="711"/>
      <c r="R74" s="711"/>
      <c r="S74" s="711"/>
      <c r="T74" s="711"/>
      <c r="U74" s="711"/>
      <c r="V74" s="711"/>
      <c r="W74" s="711"/>
      <c r="X74" s="711"/>
      <c r="Y74" s="711"/>
      <c r="Z74" s="711"/>
      <c r="AA74" s="711"/>
      <c r="AB74" s="711"/>
    </row>
    <row r="75" spans="2:28" ht="16.5" customHeight="1" hidden="1">
      <c r="B75" s="711"/>
      <c r="C75" s="711"/>
      <c r="D75" s="711"/>
      <c r="E75" s="711"/>
      <c r="F75" s="711"/>
      <c r="G75" s="711"/>
      <c r="H75" s="711"/>
      <c r="I75" s="711"/>
      <c r="J75" s="711"/>
      <c r="K75" s="711"/>
      <c r="L75" s="711"/>
      <c r="M75" s="711"/>
      <c r="N75" s="711"/>
      <c r="O75" s="711"/>
      <c r="P75" s="711"/>
      <c r="Q75" s="711"/>
      <c r="R75" s="711"/>
      <c r="S75" s="711"/>
      <c r="T75" s="711"/>
      <c r="U75" s="711"/>
      <c r="V75" s="711"/>
      <c r="W75" s="711"/>
      <c r="X75" s="711"/>
      <c r="Y75" s="711"/>
      <c r="Z75" s="711"/>
      <c r="AA75" s="711"/>
      <c r="AB75" s="711"/>
    </row>
    <row r="76" spans="2:28" ht="16.5" customHeight="1" hidden="1">
      <c r="B76" s="711"/>
      <c r="C76" s="711"/>
      <c r="D76" s="711"/>
      <c r="E76" s="711"/>
      <c r="F76" s="711"/>
      <c r="G76" s="711"/>
      <c r="H76" s="711"/>
      <c r="I76" s="711"/>
      <c r="J76" s="711"/>
      <c r="K76" s="711"/>
      <c r="L76" s="711"/>
      <c r="M76" s="711"/>
      <c r="N76" s="711"/>
      <c r="O76" s="711"/>
      <c r="P76" s="711"/>
      <c r="Q76" s="711"/>
      <c r="R76" s="711"/>
      <c r="S76" s="711"/>
      <c r="T76" s="711"/>
      <c r="U76" s="711"/>
      <c r="V76" s="711"/>
      <c r="W76" s="711"/>
      <c r="X76" s="711"/>
      <c r="Y76" s="711"/>
      <c r="Z76" s="711"/>
      <c r="AA76" s="711"/>
      <c r="AB76" s="711"/>
    </row>
    <row r="77" spans="2:28" ht="16.5" customHeight="1" hidden="1">
      <c r="B77" s="711"/>
      <c r="C77" s="711"/>
      <c r="D77" s="711"/>
      <c r="E77" s="711"/>
      <c r="F77" s="711"/>
      <c r="G77" s="711"/>
      <c r="H77" s="711"/>
      <c r="I77" s="711"/>
      <c r="J77" s="711"/>
      <c r="K77" s="711"/>
      <c r="L77" s="711"/>
      <c r="M77" s="711"/>
      <c r="N77" s="711"/>
      <c r="O77" s="711"/>
      <c r="P77" s="711"/>
      <c r="Q77" s="711"/>
      <c r="R77" s="711"/>
      <c r="S77" s="711"/>
      <c r="T77" s="711"/>
      <c r="U77" s="711"/>
      <c r="V77" s="711"/>
      <c r="W77" s="711"/>
      <c r="X77" s="711"/>
      <c r="Y77" s="711"/>
      <c r="Z77" s="711"/>
      <c r="AA77" s="711"/>
      <c r="AB77" s="711"/>
    </row>
    <row r="78" spans="2:28" ht="16.5" customHeight="1" hidden="1">
      <c r="B78" s="711"/>
      <c r="C78" s="711"/>
      <c r="D78" s="711"/>
      <c r="E78" s="711"/>
      <c r="F78" s="711"/>
      <c r="G78" s="711"/>
      <c r="H78" s="711"/>
      <c r="I78" s="711"/>
      <c r="J78" s="711"/>
      <c r="K78" s="711"/>
      <c r="L78" s="711"/>
      <c r="M78" s="711"/>
      <c r="N78" s="711"/>
      <c r="O78" s="711"/>
      <c r="P78" s="711"/>
      <c r="Q78" s="711"/>
      <c r="R78" s="711"/>
      <c r="S78" s="711"/>
      <c r="T78" s="711"/>
      <c r="U78" s="711"/>
      <c r="V78" s="711"/>
      <c r="W78" s="711"/>
      <c r="X78" s="711"/>
      <c r="Y78" s="711"/>
      <c r="Z78" s="711"/>
      <c r="AA78" s="711"/>
      <c r="AB78" s="711"/>
    </row>
    <row r="79" spans="2:28" ht="16.5" customHeight="1" hidden="1">
      <c r="B79" s="711"/>
      <c r="C79" s="711"/>
      <c r="D79" s="711"/>
      <c r="E79" s="711"/>
      <c r="F79" s="711"/>
      <c r="G79" s="711"/>
      <c r="H79" s="711"/>
      <c r="I79" s="711"/>
      <c r="J79" s="711"/>
      <c r="K79" s="711"/>
      <c r="L79" s="711"/>
      <c r="M79" s="711"/>
      <c r="N79" s="711"/>
      <c r="O79" s="711"/>
      <c r="P79" s="711"/>
      <c r="Q79" s="711"/>
      <c r="R79" s="711"/>
      <c r="S79" s="711"/>
      <c r="T79" s="711"/>
      <c r="U79" s="711"/>
      <c r="V79" s="711"/>
      <c r="W79" s="711"/>
      <c r="X79" s="711"/>
      <c r="Y79" s="711"/>
      <c r="Z79" s="711"/>
      <c r="AA79" s="711"/>
      <c r="AB79" s="711"/>
    </row>
    <row r="80" spans="2:28" ht="16.5" customHeight="1" hidden="1">
      <c r="B80" s="711"/>
      <c r="C80" s="711"/>
      <c r="D80" s="711"/>
      <c r="E80" s="711"/>
      <c r="F80" s="711"/>
      <c r="G80" s="711"/>
      <c r="H80" s="711"/>
      <c r="I80" s="711"/>
      <c r="J80" s="711"/>
      <c r="K80" s="711"/>
      <c r="L80" s="711"/>
      <c r="M80" s="711"/>
      <c r="N80" s="711"/>
      <c r="O80" s="711"/>
      <c r="P80" s="711"/>
      <c r="Q80" s="711"/>
      <c r="R80" s="711"/>
      <c r="S80" s="711"/>
      <c r="T80" s="711"/>
      <c r="U80" s="711"/>
      <c r="V80" s="711"/>
      <c r="W80" s="711"/>
      <c r="X80" s="711"/>
      <c r="Y80" s="711"/>
      <c r="Z80" s="711"/>
      <c r="AA80" s="711"/>
      <c r="AB80" s="711"/>
    </row>
    <row r="81" spans="2:28" ht="16.5" customHeight="1" hidden="1">
      <c r="B81" s="711"/>
      <c r="C81" s="711"/>
      <c r="D81" s="711"/>
      <c r="E81" s="711"/>
      <c r="F81" s="711"/>
      <c r="G81" s="711"/>
      <c r="H81" s="711"/>
      <c r="I81" s="711"/>
      <c r="J81" s="711"/>
      <c r="K81" s="711"/>
      <c r="L81" s="711"/>
      <c r="M81" s="711"/>
      <c r="N81" s="711"/>
      <c r="O81" s="711"/>
      <c r="P81" s="711"/>
      <c r="Q81" s="711"/>
      <c r="R81" s="711"/>
      <c r="S81" s="711"/>
      <c r="T81" s="711"/>
      <c r="U81" s="711"/>
      <c r="V81" s="711"/>
      <c r="W81" s="711"/>
      <c r="X81" s="711"/>
      <c r="Y81" s="711"/>
      <c r="Z81" s="711"/>
      <c r="AA81" s="711"/>
      <c r="AB81" s="711"/>
    </row>
    <row r="82" spans="2:28" ht="16.5" customHeight="1" hidden="1">
      <c r="B82" s="711"/>
      <c r="C82" s="711"/>
      <c r="D82" s="711"/>
      <c r="E82" s="711"/>
      <c r="F82" s="711"/>
      <c r="G82" s="711"/>
      <c r="H82" s="711"/>
      <c r="I82" s="711"/>
      <c r="J82" s="711"/>
      <c r="K82" s="711"/>
      <c r="L82" s="711"/>
      <c r="M82" s="711"/>
      <c r="N82" s="711"/>
      <c r="O82" s="711"/>
      <c r="P82" s="711"/>
      <c r="Q82" s="711"/>
      <c r="R82" s="711"/>
      <c r="S82" s="711"/>
      <c r="T82" s="711"/>
      <c r="U82" s="711"/>
      <c r="V82" s="711"/>
      <c r="W82" s="711"/>
      <c r="X82" s="711"/>
      <c r="Y82" s="711"/>
      <c r="Z82" s="711"/>
      <c r="AA82" s="711"/>
      <c r="AB82" s="711"/>
    </row>
    <row r="83" spans="2:28" ht="16.5" customHeight="1" hidden="1">
      <c r="B83" s="711"/>
      <c r="C83" s="711"/>
      <c r="D83" s="711"/>
      <c r="E83" s="711"/>
      <c r="F83" s="711"/>
      <c r="G83" s="711"/>
      <c r="H83" s="711"/>
      <c r="I83" s="711"/>
      <c r="J83" s="711"/>
      <c r="K83" s="711"/>
      <c r="L83" s="711"/>
      <c r="M83" s="711"/>
      <c r="N83" s="711"/>
      <c r="O83" s="711"/>
      <c r="P83" s="711"/>
      <c r="Q83" s="711"/>
      <c r="R83" s="711"/>
      <c r="S83" s="711"/>
      <c r="T83" s="711"/>
      <c r="U83" s="711"/>
      <c r="V83" s="711"/>
      <c r="W83" s="711"/>
      <c r="X83" s="711"/>
      <c r="Y83" s="711"/>
      <c r="Z83" s="711"/>
      <c r="AA83" s="711"/>
      <c r="AB83" s="711"/>
    </row>
    <row r="84" spans="2:28" ht="16.5" customHeight="1" hidden="1">
      <c r="B84" s="711"/>
      <c r="C84" s="711"/>
      <c r="D84" s="711"/>
      <c r="E84" s="711"/>
      <c r="F84" s="711"/>
      <c r="G84" s="711"/>
      <c r="H84" s="711"/>
      <c r="I84" s="711"/>
      <c r="J84" s="711"/>
      <c r="K84" s="711"/>
      <c r="L84" s="711"/>
      <c r="M84" s="711"/>
      <c r="N84" s="711"/>
      <c r="O84" s="711"/>
      <c r="P84" s="711"/>
      <c r="Q84" s="711"/>
      <c r="R84" s="711"/>
      <c r="S84" s="711"/>
      <c r="T84" s="711"/>
      <c r="U84" s="711"/>
      <c r="V84" s="711"/>
      <c r="W84" s="711"/>
      <c r="X84" s="711"/>
      <c r="Y84" s="711"/>
      <c r="Z84" s="711"/>
      <c r="AA84" s="711"/>
      <c r="AB84" s="711"/>
    </row>
    <row r="85" spans="2:28" ht="16.5" customHeight="1" hidden="1">
      <c r="B85" s="711"/>
      <c r="C85" s="711"/>
      <c r="D85" s="711"/>
      <c r="E85" s="711"/>
      <c r="F85" s="711"/>
      <c r="G85" s="711"/>
      <c r="H85" s="711"/>
      <c r="I85" s="711"/>
      <c r="J85" s="711"/>
      <c r="K85" s="711"/>
      <c r="L85" s="711"/>
      <c r="M85" s="711"/>
      <c r="N85" s="711"/>
      <c r="O85" s="711"/>
      <c r="P85" s="711"/>
      <c r="Q85" s="711"/>
      <c r="R85" s="711"/>
      <c r="S85" s="711"/>
      <c r="T85" s="711"/>
      <c r="U85" s="711"/>
      <c r="V85" s="711"/>
      <c r="W85" s="711"/>
      <c r="X85" s="711"/>
      <c r="Y85" s="711"/>
      <c r="Z85" s="711"/>
      <c r="AA85" s="711"/>
      <c r="AB85" s="711"/>
    </row>
    <row r="86" spans="2:28" ht="16.5" customHeight="1" hidden="1">
      <c r="B86" s="711"/>
      <c r="C86" s="711"/>
      <c r="D86" s="711"/>
      <c r="E86" s="711"/>
      <c r="F86" s="711"/>
      <c r="G86" s="711"/>
      <c r="H86" s="711"/>
      <c r="I86" s="711"/>
      <c r="J86" s="711"/>
      <c r="K86" s="711"/>
      <c r="L86" s="711"/>
      <c r="M86" s="711"/>
      <c r="N86" s="711"/>
      <c r="O86" s="711"/>
      <c r="P86" s="711"/>
      <c r="Q86" s="711"/>
      <c r="R86" s="711"/>
      <c r="S86" s="711"/>
      <c r="T86" s="711"/>
      <c r="U86" s="711"/>
      <c r="V86" s="711"/>
      <c r="W86" s="711"/>
      <c r="X86" s="711"/>
      <c r="Y86" s="711"/>
      <c r="Z86" s="711"/>
      <c r="AA86" s="711"/>
      <c r="AB86" s="711"/>
    </row>
    <row r="87" spans="2:28" ht="16.5" customHeight="1" hidden="1">
      <c r="B87" s="711"/>
      <c r="C87" s="711"/>
      <c r="D87" s="711"/>
      <c r="E87" s="711"/>
      <c r="F87" s="711"/>
      <c r="G87" s="711"/>
      <c r="H87" s="711"/>
      <c r="I87" s="711"/>
      <c r="J87" s="711"/>
      <c r="K87" s="711"/>
      <c r="L87" s="711"/>
      <c r="M87" s="711"/>
      <c r="N87" s="711"/>
      <c r="O87" s="711"/>
      <c r="P87" s="711"/>
      <c r="Q87" s="711"/>
      <c r="R87" s="711"/>
      <c r="S87" s="711"/>
      <c r="T87" s="711"/>
      <c r="U87" s="711"/>
      <c r="V87" s="711"/>
      <c r="W87" s="711"/>
      <c r="X87" s="711"/>
      <c r="Y87" s="711"/>
      <c r="Z87" s="711"/>
      <c r="AA87" s="711"/>
      <c r="AB87" s="711"/>
    </row>
    <row r="88" spans="2:28" ht="16.5" customHeight="1" hidden="1">
      <c r="B88" s="711"/>
      <c r="C88" s="711"/>
      <c r="D88" s="711"/>
      <c r="E88" s="711"/>
      <c r="F88" s="711"/>
      <c r="G88" s="711"/>
      <c r="H88" s="711"/>
      <c r="I88" s="711"/>
      <c r="J88" s="711"/>
      <c r="K88" s="711"/>
      <c r="L88" s="711"/>
      <c r="M88" s="711"/>
      <c r="N88" s="711"/>
      <c r="O88" s="711"/>
      <c r="P88" s="711"/>
      <c r="Q88" s="711"/>
      <c r="R88" s="711"/>
      <c r="S88" s="711"/>
      <c r="T88" s="711"/>
      <c r="U88" s="711"/>
      <c r="V88" s="711"/>
      <c r="W88" s="711"/>
      <c r="X88" s="711"/>
      <c r="Y88" s="711"/>
      <c r="Z88" s="711"/>
      <c r="AA88" s="711"/>
      <c r="AB88" s="711"/>
    </row>
    <row r="89" spans="2:28" ht="16.5" customHeight="1" hidden="1">
      <c r="B89" s="711"/>
      <c r="C89" s="711"/>
      <c r="D89" s="711"/>
      <c r="E89" s="711"/>
      <c r="F89" s="711"/>
      <c r="G89" s="711"/>
      <c r="H89" s="711"/>
      <c r="I89" s="711"/>
      <c r="J89" s="711"/>
      <c r="K89" s="711"/>
      <c r="L89" s="711"/>
      <c r="M89" s="711"/>
      <c r="N89" s="711"/>
      <c r="O89" s="711"/>
      <c r="P89" s="711"/>
      <c r="Q89" s="711"/>
      <c r="R89" s="711"/>
      <c r="S89" s="711"/>
      <c r="T89" s="711"/>
      <c r="U89" s="711"/>
      <c r="V89" s="711"/>
      <c r="W89" s="711"/>
      <c r="X89" s="711"/>
      <c r="Y89" s="711"/>
      <c r="Z89" s="711"/>
      <c r="AA89" s="711"/>
      <c r="AB89" s="711"/>
    </row>
    <row r="90" spans="2:28" ht="16.5" customHeight="1" hidden="1">
      <c r="B90" s="711"/>
      <c r="C90" s="711"/>
      <c r="D90" s="711"/>
      <c r="E90" s="711"/>
      <c r="F90" s="711"/>
      <c r="G90" s="711"/>
      <c r="H90" s="711"/>
      <c r="I90" s="711"/>
      <c r="J90" s="711"/>
      <c r="K90" s="711"/>
      <c r="L90" s="711"/>
      <c r="M90" s="711"/>
      <c r="N90" s="711"/>
      <c r="O90" s="711"/>
      <c r="P90" s="711"/>
      <c r="Q90" s="711"/>
      <c r="R90" s="711"/>
      <c r="S90" s="711"/>
      <c r="T90" s="711"/>
      <c r="U90" s="711"/>
      <c r="V90" s="711"/>
      <c r="W90" s="711"/>
      <c r="X90" s="711"/>
      <c r="Y90" s="711"/>
      <c r="Z90" s="711"/>
      <c r="AA90" s="711"/>
      <c r="AB90" s="711"/>
    </row>
    <row r="91" spans="2:28" ht="16.5" customHeight="1" hidden="1">
      <c r="B91" s="711"/>
      <c r="C91" s="711"/>
      <c r="D91" s="711"/>
      <c r="E91" s="711"/>
      <c r="F91" s="711"/>
      <c r="G91" s="711"/>
      <c r="H91" s="711"/>
      <c r="I91" s="711"/>
      <c r="J91" s="711"/>
      <c r="K91" s="711"/>
      <c r="L91" s="711"/>
      <c r="M91" s="711"/>
      <c r="N91" s="711"/>
      <c r="O91" s="711"/>
      <c r="P91" s="711"/>
      <c r="Q91" s="711"/>
      <c r="R91" s="711"/>
      <c r="S91" s="711"/>
      <c r="T91" s="711"/>
      <c r="U91" s="711"/>
      <c r="V91" s="711"/>
      <c r="W91" s="711"/>
      <c r="X91" s="711"/>
      <c r="Y91" s="711"/>
      <c r="Z91" s="711"/>
      <c r="AA91" s="711"/>
      <c r="AB91" s="711"/>
    </row>
    <row r="92" spans="2:28" ht="16.5" customHeight="1" hidden="1">
      <c r="B92" s="711"/>
      <c r="C92" s="711"/>
      <c r="D92" s="711"/>
      <c r="E92" s="711"/>
      <c r="F92" s="711"/>
      <c r="G92" s="711"/>
      <c r="H92" s="711"/>
      <c r="I92" s="711"/>
      <c r="J92" s="711"/>
      <c r="K92" s="711"/>
      <c r="L92" s="711"/>
      <c r="M92" s="711"/>
      <c r="N92" s="711"/>
      <c r="O92" s="711"/>
      <c r="P92" s="711"/>
      <c r="Q92" s="711"/>
      <c r="R92" s="711"/>
      <c r="S92" s="711"/>
      <c r="T92" s="711"/>
      <c r="U92" s="711"/>
      <c r="V92" s="711"/>
      <c r="W92" s="711"/>
      <c r="X92" s="711"/>
      <c r="Y92" s="711"/>
      <c r="Z92" s="711"/>
      <c r="AA92" s="711"/>
      <c r="AB92" s="711"/>
    </row>
    <row r="93" spans="2:28" ht="16.5" customHeight="1" hidden="1">
      <c r="B93" s="711"/>
      <c r="C93" s="711"/>
      <c r="D93" s="711"/>
      <c r="E93" s="711"/>
      <c r="F93" s="711"/>
      <c r="G93" s="711"/>
      <c r="H93" s="711"/>
      <c r="I93" s="711"/>
      <c r="J93" s="711"/>
      <c r="K93" s="711"/>
      <c r="L93" s="711"/>
      <c r="M93" s="711"/>
      <c r="N93" s="711"/>
      <c r="O93" s="711"/>
      <c r="P93" s="711"/>
      <c r="Q93" s="711"/>
      <c r="R93" s="711"/>
      <c r="S93" s="711"/>
      <c r="T93" s="711"/>
      <c r="U93" s="711"/>
      <c r="V93" s="711"/>
      <c r="W93" s="711"/>
      <c r="X93" s="711"/>
      <c r="Y93" s="711"/>
      <c r="Z93" s="711"/>
      <c r="AA93" s="711"/>
      <c r="AB93" s="711"/>
    </row>
    <row r="94" spans="2:28" ht="16.5" customHeight="1" hidden="1">
      <c r="B94" s="711"/>
      <c r="C94" s="711"/>
      <c r="D94" s="711"/>
      <c r="E94" s="711"/>
      <c r="F94" s="711"/>
      <c r="G94" s="711"/>
      <c r="H94" s="711"/>
      <c r="I94" s="711"/>
      <c r="J94" s="711"/>
      <c r="K94" s="711"/>
      <c r="L94" s="711"/>
      <c r="M94" s="711"/>
      <c r="N94" s="711"/>
      <c r="O94" s="711"/>
      <c r="P94" s="711"/>
      <c r="Q94" s="711"/>
      <c r="R94" s="711"/>
      <c r="S94" s="711"/>
      <c r="T94" s="711"/>
      <c r="U94" s="711"/>
      <c r="V94" s="711"/>
      <c r="W94" s="711"/>
      <c r="X94" s="711"/>
      <c r="Y94" s="711"/>
      <c r="Z94" s="711"/>
      <c r="AA94" s="711"/>
      <c r="AB94" s="711"/>
    </row>
    <row r="95" spans="2:28" ht="16.5" customHeight="1" hidden="1">
      <c r="B95" s="711"/>
      <c r="C95" s="711"/>
      <c r="D95" s="711"/>
      <c r="E95" s="711"/>
      <c r="F95" s="711"/>
      <c r="G95" s="711"/>
      <c r="H95" s="711"/>
      <c r="I95" s="711"/>
      <c r="J95" s="711"/>
      <c r="K95" s="711"/>
      <c r="L95" s="711"/>
      <c r="M95" s="711"/>
      <c r="N95" s="711"/>
      <c r="O95" s="711"/>
      <c r="P95" s="711"/>
      <c r="Q95" s="711"/>
      <c r="R95" s="711"/>
      <c r="S95" s="711"/>
      <c r="T95" s="711"/>
      <c r="U95" s="711"/>
      <c r="V95" s="711"/>
      <c r="W95" s="711"/>
      <c r="X95" s="711"/>
      <c r="Y95" s="711"/>
      <c r="Z95" s="711"/>
      <c r="AA95" s="711"/>
      <c r="AB95" s="711"/>
    </row>
    <row r="96" spans="14:28" ht="16.5" customHeight="1" hidden="1">
      <c r="N96" s="711"/>
      <c r="O96" s="711"/>
      <c r="P96" s="711"/>
      <c r="Q96" s="711"/>
      <c r="R96" s="711"/>
      <c r="S96" s="711"/>
      <c r="T96" s="711"/>
      <c r="U96" s="711"/>
      <c r="V96" s="711"/>
      <c r="W96" s="711"/>
      <c r="X96" s="711"/>
      <c r="Y96" s="711"/>
      <c r="Z96" s="711"/>
      <c r="AA96" s="711"/>
      <c r="AB96" s="711"/>
    </row>
    <row r="97" spans="14:28" ht="16.5" customHeight="1" hidden="1">
      <c r="N97" s="711"/>
      <c r="O97" s="711"/>
      <c r="P97" s="711"/>
      <c r="Q97" s="711"/>
      <c r="R97" s="711"/>
      <c r="S97" s="711"/>
      <c r="T97" s="711"/>
      <c r="U97" s="711"/>
      <c r="V97" s="711"/>
      <c r="W97" s="711"/>
      <c r="X97" s="711"/>
      <c r="Y97" s="711"/>
      <c r="Z97" s="711"/>
      <c r="AA97" s="711"/>
      <c r="AB97" s="711"/>
    </row>
    <row r="98" spans="14:28" ht="16.5" customHeight="1" hidden="1">
      <c r="N98" s="711"/>
      <c r="O98" s="711"/>
      <c r="P98" s="711"/>
      <c r="Q98" s="711"/>
      <c r="R98" s="711"/>
      <c r="S98" s="711"/>
      <c r="T98" s="711"/>
      <c r="U98" s="711"/>
      <c r="V98" s="711"/>
      <c r="W98" s="711"/>
      <c r="X98" s="711"/>
      <c r="Y98" s="711"/>
      <c r="Z98" s="711"/>
      <c r="AA98" s="711"/>
      <c r="AB98" s="711"/>
    </row>
    <row r="99" spans="14:28" ht="16.5" customHeight="1" hidden="1">
      <c r="N99" s="711"/>
      <c r="O99" s="711"/>
      <c r="P99" s="711"/>
      <c r="Q99" s="711"/>
      <c r="R99" s="711"/>
      <c r="S99" s="711"/>
      <c r="T99" s="711"/>
      <c r="U99" s="711"/>
      <c r="V99" s="711"/>
      <c r="W99" s="711"/>
      <c r="X99" s="711"/>
      <c r="Y99" s="711"/>
      <c r="Z99" s="711"/>
      <c r="AA99" s="711"/>
      <c r="AB99" s="711"/>
    </row>
    <row r="100" spans="14:28" ht="16.5" customHeight="1" hidden="1">
      <c r="N100" s="711"/>
      <c r="O100" s="711"/>
      <c r="P100" s="711"/>
      <c r="Q100" s="711"/>
      <c r="R100" s="711"/>
      <c r="S100" s="711"/>
      <c r="T100" s="711"/>
      <c r="U100" s="711"/>
      <c r="V100" s="711"/>
      <c r="W100" s="711"/>
      <c r="X100" s="711"/>
      <c r="Y100" s="711"/>
      <c r="Z100" s="711"/>
      <c r="AA100" s="711"/>
      <c r="AB100" s="711"/>
    </row>
    <row r="200" spans="2:13" ht="13.5" customHeight="1" hidden="1">
      <c r="B200" s="435"/>
      <c r="C200" s="435"/>
      <c r="D200" s="435"/>
      <c r="E200" s="435"/>
      <c r="F200" s="435"/>
      <c r="G200" s="435"/>
      <c r="H200" s="435"/>
      <c r="I200" s="435"/>
      <c r="J200" s="435"/>
      <c r="K200" s="435"/>
      <c r="L200" s="435"/>
      <c r="M200" s="435"/>
    </row>
    <row r="201" spans="2:13" ht="13.5" customHeight="1" hidden="1">
      <c r="B201" s="435"/>
      <c r="C201" s="435"/>
      <c r="D201" s="435"/>
      <c r="E201" s="435"/>
      <c r="F201" s="435"/>
      <c r="G201" s="435"/>
      <c r="H201" s="435"/>
      <c r="I201" s="435"/>
      <c r="J201" s="435"/>
      <c r="K201" s="435"/>
      <c r="L201" s="435"/>
      <c r="M201" s="435"/>
    </row>
    <row r="202" spans="2:13" ht="13.5" customHeight="1" hidden="1">
      <c r="B202" s="435"/>
      <c r="C202" s="435"/>
      <c r="D202" s="435"/>
      <c r="E202" s="435"/>
      <c r="F202" s="435"/>
      <c r="G202" s="435"/>
      <c r="H202" s="435"/>
      <c r="I202" s="435"/>
      <c r="J202" s="435"/>
      <c r="K202" s="435"/>
      <c r="L202" s="435"/>
      <c r="M202" s="435"/>
    </row>
    <row r="203" spans="2:13" ht="13.5" customHeight="1" hidden="1">
      <c r="B203" s="435"/>
      <c r="C203" s="435"/>
      <c r="D203" s="435"/>
      <c r="E203" s="435"/>
      <c r="F203" s="435"/>
      <c r="G203" s="435"/>
      <c r="H203" s="435"/>
      <c r="I203" s="435"/>
      <c r="J203" s="435"/>
      <c r="K203" s="435"/>
      <c r="L203" s="435"/>
      <c r="M203" s="435"/>
    </row>
    <row r="204" spans="2:13" ht="13.5" customHeight="1" hidden="1">
      <c r="B204" s="435"/>
      <c r="C204" s="435"/>
      <c r="D204" s="435"/>
      <c r="E204" s="435"/>
      <c r="F204" s="435"/>
      <c r="G204" s="435"/>
      <c r="H204" s="435"/>
      <c r="I204" s="435"/>
      <c r="J204" s="435"/>
      <c r="K204" s="435"/>
      <c r="L204" s="435"/>
      <c r="M204" s="435"/>
    </row>
    <row r="205" s="435" customFormat="1" ht="13.5" customHeight="1" hidden="1"/>
    <row r="206" s="435" customFormat="1" ht="13.5" customHeight="1" hidden="1"/>
    <row r="207" s="435" customFormat="1" ht="13.5" customHeight="1" hidden="1"/>
    <row r="208" s="435" customFormat="1" ht="13.5" customHeight="1" hidden="1"/>
    <row r="209" s="435" customFormat="1" ht="13.5" customHeight="1" hidden="1"/>
    <row r="210" spans="110:209" s="435" customFormat="1" ht="13.5" customHeight="1" hidden="1">
      <c r="DF210" s="463"/>
      <c r="DG210" s="463"/>
      <c r="DH210" s="463"/>
      <c r="DI210" s="463"/>
      <c r="DJ210" s="463"/>
      <c r="DK210" s="463"/>
      <c r="DL210" s="463"/>
      <c r="DM210" s="463"/>
      <c r="DN210" s="463"/>
      <c r="DO210" s="463"/>
      <c r="DP210" s="463"/>
      <c r="DQ210" s="463"/>
      <c r="DR210" s="463"/>
      <c r="DS210" s="463"/>
      <c r="DT210" s="463"/>
      <c r="DU210" s="463"/>
      <c r="DV210" s="463"/>
      <c r="DW210" s="463"/>
      <c r="DX210" s="463"/>
      <c r="DY210" s="463"/>
      <c r="DZ210" s="463"/>
      <c r="EA210" s="463"/>
      <c r="EB210" s="463"/>
      <c r="EC210" s="463"/>
      <c r="ED210" s="463"/>
      <c r="EE210" s="463"/>
      <c r="EF210" s="463"/>
      <c r="EG210" s="463"/>
      <c r="EH210" s="463"/>
      <c r="EI210" s="463"/>
      <c r="EJ210" s="463"/>
      <c r="EK210" s="463"/>
      <c r="EL210" s="463"/>
      <c r="EM210" s="463"/>
      <c r="EN210" s="463"/>
      <c r="EO210" s="463"/>
      <c r="EP210" s="463"/>
      <c r="EQ210" s="463"/>
      <c r="ER210" s="463"/>
      <c r="ES210" s="463"/>
      <c r="ET210" s="463"/>
      <c r="EU210" s="463"/>
      <c r="EV210" s="463"/>
      <c r="EW210" s="463"/>
      <c r="EX210" s="463"/>
      <c r="EY210" s="463"/>
      <c r="EZ210" s="463"/>
      <c r="FA210" s="463"/>
      <c r="FB210" s="463"/>
      <c r="FC210" s="463"/>
      <c r="FD210" s="463"/>
      <c r="FE210" s="463"/>
      <c r="FF210" s="463"/>
      <c r="FG210" s="463"/>
      <c r="FH210" s="463"/>
      <c r="FI210" s="463"/>
      <c r="FJ210" s="463"/>
      <c r="FK210" s="463"/>
      <c r="FL210" s="463"/>
      <c r="FM210" s="463"/>
      <c r="FN210" s="463"/>
      <c r="FO210" s="463"/>
      <c r="FP210" s="463"/>
      <c r="FQ210" s="463"/>
      <c r="FR210" s="463"/>
      <c r="FS210" s="463"/>
      <c r="FT210" s="463"/>
      <c r="FU210" s="463"/>
      <c r="FV210" s="463"/>
      <c r="FW210" s="463"/>
      <c r="FX210" s="463"/>
      <c r="FY210" s="463"/>
      <c r="FZ210" s="463"/>
      <c r="GA210" s="463"/>
      <c r="GB210" s="463"/>
      <c r="GC210" s="463"/>
      <c r="GD210" s="463"/>
      <c r="GE210" s="463"/>
      <c r="GF210" s="463"/>
      <c r="GG210" s="463"/>
      <c r="GH210" s="463"/>
      <c r="GI210" s="463"/>
      <c r="GJ210" s="463"/>
      <c r="GK210" s="463"/>
      <c r="GL210" s="463"/>
      <c r="GM210" s="463"/>
      <c r="GN210" s="463"/>
      <c r="GO210" s="463"/>
      <c r="GP210" s="463"/>
      <c r="GQ210" s="463"/>
      <c r="GR210" s="463"/>
      <c r="GS210" s="463"/>
      <c r="GT210" s="463"/>
      <c r="GU210" s="463"/>
      <c r="GV210" s="463"/>
      <c r="GW210" s="463"/>
      <c r="GX210" s="463"/>
      <c r="GY210" s="463"/>
      <c r="GZ210" s="463"/>
      <c r="HA210" s="463"/>
    </row>
    <row r="211" spans="110:209" s="435" customFormat="1" ht="13.5" customHeight="1" hidden="1">
      <c r="DF211" s="463"/>
      <c r="DG211" s="463"/>
      <c r="DH211" s="463"/>
      <c r="DI211" s="463"/>
      <c r="DJ211" s="463"/>
      <c r="DK211" s="463"/>
      <c r="DL211" s="463"/>
      <c r="DM211" s="463"/>
      <c r="DN211" s="463"/>
      <c r="DO211" s="463"/>
      <c r="DP211" s="463"/>
      <c r="DQ211" s="463"/>
      <c r="DR211" s="463"/>
      <c r="DS211" s="463"/>
      <c r="DT211" s="463"/>
      <c r="DU211" s="463"/>
      <c r="DV211" s="463"/>
      <c r="DW211" s="463"/>
      <c r="DX211" s="463"/>
      <c r="DY211" s="463"/>
      <c r="DZ211" s="463"/>
      <c r="EA211" s="463"/>
      <c r="EB211" s="463"/>
      <c r="EC211" s="463"/>
      <c r="ED211" s="463"/>
      <c r="EE211" s="463"/>
      <c r="EF211" s="463"/>
      <c r="EG211" s="463"/>
      <c r="EH211" s="463"/>
      <c r="EI211" s="463"/>
      <c r="EJ211" s="463"/>
      <c r="EK211" s="463"/>
      <c r="EL211" s="463"/>
      <c r="EM211" s="463"/>
      <c r="EN211" s="463"/>
      <c r="EO211" s="463"/>
      <c r="EP211" s="463"/>
      <c r="EQ211" s="463"/>
      <c r="ER211" s="463"/>
      <c r="ES211" s="463"/>
      <c r="ET211" s="463"/>
      <c r="EU211" s="463"/>
      <c r="EV211" s="463"/>
      <c r="EW211" s="463"/>
      <c r="EX211" s="463"/>
      <c r="EY211" s="463"/>
      <c r="EZ211" s="463"/>
      <c r="FA211" s="463"/>
      <c r="FB211" s="463"/>
      <c r="FC211" s="463"/>
      <c r="FD211" s="463"/>
      <c r="FE211" s="463"/>
      <c r="FF211" s="463"/>
      <c r="FG211" s="463"/>
      <c r="FH211" s="463"/>
      <c r="FI211" s="463"/>
      <c r="FJ211" s="463"/>
      <c r="FK211" s="463"/>
      <c r="FL211" s="463"/>
      <c r="FM211" s="463"/>
      <c r="FN211" s="463"/>
      <c r="FO211" s="463"/>
      <c r="FP211" s="463"/>
      <c r="FQ211" s="463"/>
      <c r="FR211" s="463"/>
      <c r="FS211" s="463"/>
      <c r="FT211" s="463"/>
      <c r="FU211" s="463"/>
      <c r="FV211" s="463"/>
      <c r="FW211" s="463"/>
      <c r="FX211" s="463"/>
      <c r="FY211" s="463"/>
      <c r="FZ211" s="463"/>
      <c r="GA211" s="463"/>
      <c r="GB211" s="463"/>
      <c r="GC211" s="463"/>
      <c r="GD211" s="463"/>
      <c r="GE211" s="463"/>
      <c r="GF211" s="463"/>
      <c r="GG211" s="463"/>
      <c r="GH211" s="463"/>
      <c r="GI211" s="463"/>
      <c r="GJ211" s="463"/>
      <c r="GK211" s="463"/>
      <c r="GL211" s="463"/>
      <c r="GM211" s="463"/>
      <c r="GN211" s="463"/>
      <c r="GO211" s="463"/>
      <c r="GP211" s="463"/>
      <c r="GQ211" s="463"/>
      <c r="GR211" s="463"/>
      <c r="GS211" s="463"/>
      <c r="GT211" s="463"/>
      <c r="GU211" s="463"/>
      <c r="GV211" s="463"/>
      <c r="GW211" s="463"/>
      <c r="GX211" s="463"/>
      <c r="GY211" s="463"/>
      <c r="GZ211" s="463"/>
      <c r="HA211" s="463"/>
    </row>
    <row r="212" spans="110:209" s="435" customFormat="1" ht="13.5" customHeight="1" hidden="1">
      <c r="DF212" s="463"/>
      <c r="DG212" s="463"/>
      <c r="DH212" s="463"/>
      <c r="DI212" s="463"/>
      <c r="DJ212" s="463"/>
      <c r="DK212" s="463"/>
      <c r="DL212" s="463"/>
      <c r="DM212" s="463"/>
      <c r="DN212" s="463"/>
      <c r="DO212" s="463"/>
      <c r="DP212" s="463"/>
      <c r="DQ212" s="463"/>
      <c r="DR212" s="463"/>
      <c r="DS212" s="463"/>
      <c r="DT212" s="463"/>
      <c r="DU212" s="463"/>
      <c r="DV212" s="463"/>
      <c r="DW212" s="463"/>
      <c r="DX212" s="463"/>
      <c r="DY212" s="463"/>
      <c r="DZ212" s="463"/>
      <c r="EA212" s="463"/>
      <c r="EB212" s="463"/>
      <c r="EC212" s="463"/>
      <c r="ED212" s="463"/>
      <c r="EE212" s="463"/>
      <c r="EF212" s="463"/>
      <c r="EG212" s="463"/>
      <c r="EH212" s="463"/>
      <c r="EI212" s="463"/>
      <c r="EJ212" s="463"/>
      <c r="EK212" s="463"/>
      <c r="EL212" s="463"/>
      <c r="EM212" s="463"/>
      <c r="EN212" s="463"/>
      <c r="EO212" s="463"/>
      <c r="EP212" s="463"/>
      <c r="EQ212" s="463"/>
      <c r="ER212" s="463"/>
      <c r="ES212" s="463"/>
      <c r="ET212" s="463"/>
      <c r="EU212" s="463"/>
      <c r="EV212" s="463"/>
      <c r="EW212" s="463"/>
      <c r="EX212" s="463"/>
      <c r="EY212" s="463"/>
      <c r="EZ212" s="463"/>
      <c r="FA212" s="463"/>
      <c r="FB212" s="463"/>
      <c r="FC212" s="463"/>
      <c r="FD212" s="463"/>
      <c r="FE212" s="463"/>
      <c r="FF212" s="463"/>
      <c r="FG212" s="463"/>
      <c r="FH212" s="463"/>
      <c r="FI212" s="463"/>
      <c r="FJ212" s="463"/>
      <c r="FK212" s="463"/>
      <c r="FL212" s="463"/>
      <c r="FM212" s="463"/>
      <c r="FN212" s="463"/>
      <c r="FO212" s="463"/>
      <c r="FP212" s="463"/>
      <c r="FQ212" s="463"/>
      <c r="FR212" s="463"/>
      <c r="FS212" s="463"/>
      <c r="FT212" s="463"/>
      <c r="FU212" s="463"/>
      <c r="FV212" s="463"/>
      <c r="FW212" s="463"/>
      <c r="FX212" s="463"/>
      <c r="FY212" s="463"/>
      <c r="FZ212" s="463"/>
      <c r="GA212" s="463"/>
      <c r="GB212" s="463"/>
      <c r="GC212" s="463"/>
      <c r="GD212" s="463"/>
      <c r="GE212" s="463"/>
      <c r="GF212" s="463"/>
      <c r="GG212" s="463"/>
      <c r="GH212" s="463"/>
      <c r="GI212" s="463"/>
      <c r="GJ212" s="463"/>
      <c r="GK212" s="463"/>
      <c r="GL212" s="463"/>
      <c r="GM212" s="463"/>
      <c r="GN212" s="463"/>
      <c r="GO212" s="463"/>
      <c r="GP212" s="463"/>
      <c r="GQ212" s="463"/>
      <c r="GR212" s="463"/>
      <c r="GS212" s="463"/>
      <c r="GT212" s="463"/>
      <c r="GU212" s="463"/>
      <c r="GV212" s="463"/>
      <c r="GW212" s="463"/>
      <c r="GX212" s="463"/>
      <c r="GY212" s="463"/>
      <c r="GZ212" s="463"/>
      <c r="HA212" s="463"/>
    </row>
    <row r="213" spans="110:209" s="435" customFormat="1" ht="13.5" customHeight="1" hidden="1">
      <c r="DF213" s="463"/>
      <c r="DG213" s="463"/>
      <c r="DH213" s="463"/>
      <c r="DI213" s="463"/>
      <c r="DJ213" s="463"/>
      <c r="DK213" s="463"/>
      <c r="DL213" s="463"/>
      <c r="DM213" s="463"/>
      <c r="DN213" s="463"/>
      <c r="DO213" s="463"/>
      <c r="DP213" s="463"/>
      <c r="DQ213" s="463"/>
      <c r="DR213" s="463"/>
      <c r="DS213" s="463"/>
      <c r="DT213" s="463"/>
      <c r="DU213" s="463"/>
      <c r="DV213" s="463"/>
      <c r="DW213" s="463"/>
      <c r="DX213" s="463"/>
      <c r="DY213" s="463"/>
      <c r="DZ213" s="463"/>
      <c r="EA213" s="463"/>
      <c r="EB213" s="463"/>
      <c r="EC213" s="463"/>
      <c r="ED213" s="463"/>
      <c r="EE213" s="463"/>
      <c r="EF213" s="463"/>
      <c r="EG213" s="463"/>
      <c r="EH213" s="463"/>
      <c r="EI213" s="463"/>
      <c r="EJ213" s="463"/>
      <c r="EK213" s="463"/>
      <c r="EL213" s="463"/>
      <c r="EM213" s="463"/>
      <c r="EN213" s="463"/>
      <c r="EO213" s="463"/>
      <c r="EP213" s="463"/>
      <c r="EQ213" s="463"/>
      <c r="ER213" s="463"/>
      <c r="ES213" s="463"/>
      <c r="ET213" s="463"/>
      <c r="EU213" s="463"/>
      <c r="EV213" s="463"/>
      <c r="EW213" s="463"/>
      <c r="EX213" s="463"/>
      <c r="EY213" s="463"/>
      <c r="EZ213" s="463"/>
      <c r="FA213" s="463"/>
      <c r="FB213" s="463"/>
      <c r="FC213" s="463"/>
      <c r="FD213" s="463"/>
      <c r="FE213" s="463"/>
      <c r="FF213" s="463"/>
      <c r="FG213" s="463"/>
      <c r="FH213" s="463"/>
      <c r="FI213" s="463"/>
      <c r="FJ213" s="463"/>
      <c r="FK213" s="463"/>
      <c r="FL213" s="463"/>
      <c r="FM213" s="463"/>
      <c r="FN213" s="463"/>
      <c r="FO213" s="463"/>
      <c r="FP213" s="463"/>
      <c r="FQ213" s="463"/>
      <c r="FR213" s="463"/>
      <c r="FS213" s="463"/>
      <c r="FT213" s="463"/>
      <c r="FU213" s="463"/>
      <c r="FV213" s="463"/>
      <c r="FW213" s="463"/>
      <c r="FX213" s="463"/>
      <c r="FY213" s="463"/>
      <c r="FZ213" s="463"/>
      <c r="GA213" s="463"/>
      <c r="GB213" s="463"/>
      <c r="GC213" s="463"/>
      <c r="GD213" s="463"/>
      <c r="GE213" s="463"/>
      <c r="GF213" s="463"/>
      <c r="GG213" s="463"/>
      <c r="GH213" s="463"/>
      <c r="GI213" s="463"/>
      <c r="GJ213" s="463"/>
      <c r="GK213" s="463"/>
      <c r="GL213" s="463"/>
      <c r="GM213" s="463"/>
      <c r="GN213" s="463"/>
      <c r="GO213" s="463"/>
      <c r="GP213" s="463"/>
      <c r="GQ213" s="463"/>
      <c r="GR213" s="463"/>
      <c r="GS213" s="463"/>
      <c r="GT213" s="463"/>
      <c r="GU213" s="463"/>
      <c r="GV213" s="463"/>
      <c r="GW213" s="463"/>
      <c r="GX213" s="463"/>
      <c r="GY213" s="463"/>
      <c r="GZ213" s="463"/>
      <c r="HA213" s="463"/>
    </row>
    <row r="214" spans="110:209" s="435" customFormat="1" ht="13.5" customHeight="1" hidden="1">
      <c r="DF214" s="463"/>
      <c r="DG214" s="463"/>
      <c r="DH214" s="463"/>
      <c r="DI214" s="463"/>
      <c r="DJ214" s="463"/>
      <c r="DK214" s="463"/>
      <c r="DL214" s="463"/>
      <c r="DM214" s="463"/>
      <c r="DN214" s="463"/>
      <c r="DO214" s="463"/>
      <c r="DP214" s="463"/>
      <c r="DQ214" s="463"/>
      <c r="DR214" s="463"/>
      <c r="DS214" s="463"/>
      <c r="DT214" s="463"/>
      <c r="DU214" s="463"/>
      <c r="DV214" s="463"/>
      <c r="DW214" s="463"/>
      <c r="DX214" s="463"/>
      <c r="DY214" s="463"/>
      <c r="DZ214" s="463"/>
      <c r="EA214" s="463"/>
      <c r="EB214" s="463"/>
      <c r="EC214" s="463"/>
      <c r="ED214" s="463"/>
      <c r="EE214" s="463"/>
      <c r="EF214" s="463"/>
      <c r="EG214" s="463"/>
      <c r="EH214" s="463"/>
      <c r="EI214" s="463"/>
      <c r="EJ214" s="463"/>
      <c r="EK214" s="463"/>
      <c r="EL214" s="463"/>
      <c r="EM214" s="463"/>
      <c r="EN214" s="463"/>
      <c r="EO214" s="463"/>
      <c r="EP214" s="463"/>
      <c r="EQ214" s="463"/>
      <c r="ER214" s="463"/>
      <c r="ES214" s="463"/>
      <c r="ET214" s="463"/>
      <c r="EU214" s="463"/>
      <c r="EV214" s="463"/>
      <c r="EW214" s="463"/>
      <c r="EX214" s="463"/>
      <c r="EY214" s="463"/>
      <c r="EZ214" s="463"/>
      <c r="FA214" s="463"/>
      <c r="FB214" s="463"/>
      <c r="FC214" s="463"/>
      <c r="FD214" s="463"/>
      <c r="FE214" s="463"/>
      <c r="FF214" s="463"/>
      <c r="FG214" s="463"/>
      <c r="FH214" s="463"/>
      <c r="FI214" s="463"/>
      <c r="FJ214" s="463"/>
      <c r="FK214" s="463"/>
      <c r="FL214" s="463"/>
      <c r="FM214" s="463"/>
      <c r="FN214" s="463"/>
      <c r="FO214" s="463"/>
      <c r="FP214" s="463"/>
      <c r="FQ214" s="463"/>
      <c r="FR214" s="463"/>
      <c r="FS214" s="463"/>
      <c r="FT214" s="463"/>
      <c r="FU214" s="463"/>
      <c r="FV214" s="463"/>
      <c r="FW214" s="463"/>
      <c r="FX214" s="463"/>
      <c r="FY214" s="463"/>
      <c r="FZ214" s="463"/>
      <c r="GA214" s="463"/>
      <c r="GB214" s="463"/>
      <c r="GC214" s="463"/>
      <c r="GD214" s="463"/>
      <c r="GE214" s="463"/>
      <c r="GF214" s="463"/>
      <c r="GG214" s="463"/>
      <c r="GH214" s="463"/>
      <c r="GI214" s="463"/>
      <c r="GJ214" s="463"/>
      <c r="GK214" s="463"/>
      <c r="GL214" s="463"/>
      <c r="GM214" s="463"/>
      <c r="GN214" s="463"/>
      <c r="GO214" s="463"/>
      <c r="GP214" s="463"/>
      <c r="GQ214" s="463"/>
      <c r="GR214" s="463"/>
      <c r="GS214" s="463"/>
      <c r="GT214" s="463"/>
      <c r="GU214" s="463"/>
      <c r="GV214" s="463"/>
      <c r="GW214" s="463"/>
      <c r="GX214" s="463"/>
      <c r="GY214" s="463"/>
      <c r="GZ214" s="463"/>
      <c r="HA214" s="463"/>
    </row>
    <row r="215" spans="110:209" s="435" customFormat="1" ht="13.5" customHeight="1" hidden="1">
      <c r="DF215" s="463"/>
      <c r="DG215" s="463"/>
      <c r="DH215" s="463"/>
      <c r="DI215" s="463"/>
      <c r="DJ215" s="463"/>
      <c r="DK215" s="463"/>
      <c r="DL215" s="463"/>
      <c r="DM215" s="463"/>
      <c r="DN215" s="463"/>
      <c r="DO215" s="463"/>
      <c r="DP215" s="463"/>
      <c r="DQ215" s="463"/>
      <c r="DR215" s="463"/>
      <c r="DS215" s="463"/>
      <c r="DT215" s="463"/>
      <c r="DU215" s="463"/>
      <c r="DV215" s="463"/>
      <c r="DW215" s="463"/>
      <c r="DX215" s="463"/>
      <c r="DY215" s="463"/>
      <c r="DZ215" s="463"/>
      <c r="EA215" s="463"/>
      <c r="EB215" s="463"/>
      <c r="EC215" s="463"/>
      <c r="ED215" s="463"/>
      <c r="EE215" s="463"/>
      <c r="EF215" s="463"/>
      <c r="EG215" s="463"/>
      <c r="EH215" s="463"/>
      <c r="EI215" s="463"/>
      <c r="EJ215" s="463"/>
      <c r="EK215" s="463"/>
      <c r="EL215" s="463"/>
      <c r="EM215" s="463"/>
      <c r="EN215" s="463"/>
      <c r="EO215" s="463"/>
      <c r="EP215" s="463"/>
      <c r="EQ215" s="463"/>
      <c r="ER215" s="463"/>
      <c r="ES215" s="463"/>
      <c r="ET215" s="463"/>
      <c r="EU215" s="463"/>
      <c r="EV215" s="463"/>
      <c r="EW215" s="463"/>
      <c r="EX215" s="463"/>
      <c r="EY215" s="463"/>
      <c r="EZ215" s="463"/>
      <c r="FA215" s="463"/>
      <c r="FB215" s="463"/>
      <c r="FC215" s="463"/>
      <c r="FD215" s="463"/>
      <c r="FE215" s="463"/>
      <c r="FF215" s="463"/>
      <c r="FG215" s="463"/>
      <c r="FH215" s="463"/>
      <c r="FI215" s="463"/>
      <c r="FJ215" s="463"/>
      <c r="FK215" s="463"/>
      <c r="FL215" s="463"/>
      <c r="FM215" s="463"/>
      <c r="FN215" s="463"/>
      <c r="FO215" s="463"/>
      <c r="FP215" s="463"/>
      <c r="FQ215" s="463"/>
      <c r="FR215" s="463"/>
      <c r="FS215" s="463"/>
      <c r="FT215" s="463"/>
      <c r="FU215" s="463"/>
      <c r="FV215" s="463"/>
      <c r="FW215" s="463"/>
      <c r="FX215" s="463"/>
      <c r="FY215" s="463"/>
      <c r="FZ215" s="463"/>
      <c r="GA215" s="463"/>
      <c r="GB215" s="463"/>
      <c r="GC215" s="463"/>
      <c r="GD215" s="463"/>
      <c r="GE215" s="463"/>
      <c r="GF215" s="463"/>
      <c r="GG215" s="463"/>
      <c r="GH215" s="463"/>
      <c r="GI215" s="463"/>
      <c r="GJ215" s="463"/>
      <c r="GK215" s="463"/>
      <c r="GL215" s="463"/>
      <c r="GM215" s="463"/>
      <c r="GN215" s="463"/>
      <c r="GO215" s="463"/>
      <c r="GP215" s="463"/>
      <c r="GQ215" s="463"/>
      <c r="GR215" s="463"/>
      <c r="GS215" s="463"/>
      <c r="GT215" s="463"/>
      <c r="GU215" s="463"/>
      <c r="GV215" s="463"/>
      <c r="GW215" s="463"/>
      <c r="GX215" s="463"/>
      <c r="GY215" s="463"/>
      <c r="GZ215" s="463"/>
      <c r="HA215" s="463"/>
    </row>
    <row r="216" spans="110:209" s="435" customFormat="1" ht="18.75" customHeight="1" hidden="1">
      <c r="DF216" s="463"/>
      <c r="DG216" s="463"/>
      <c r="DH216" s="463"/>
      <c r="DI216" s="463"/>
      <c r="DJ216" s="712"/>
      <c r="DK216" s="713"/>
      <c r="DL216" s="713"/>
      <c r="DM216" s="713"/>
      <c r="DN216" s="713"/>
      <c r="DO216" s="713"/>
      <c r="DP216" s="713"/>
      <c r="DQ216" s="463"/>
      <c r="DR216" s="463"/>
      <c r="DS216" s="463"/>
      <c r="DT216" s="463"/>
      <c r="DU216" s="463"/>
      <c r="DV216" s="463"/>
      <c r="DW216" s="463"/>
      <c r="DX216" s="463"/>
      <c r="DY216" s="463"/>
      <c r="DZ216" s="463"/>
      <c r="EA216" s="463"/>
      <c r="EB216" s="463"/>
      <c r="EC216" s="463"/>
      <c r="ED216" s="463"/>
      <c r="EE216" s="463"/>
      <c r="EF216" s="463"/>
      <c r="EG216" s="463"/>
      <c r="EH216" s="463"/>
      <c r="EI216" s="463"/>
      <c r="EJ216" s="463"/>
      <c r="EK216" s="463"/>
      <c r="EL216" s="463"/>
      <c r="EM216" s="463"/>
      <c r="EN216" s="463"/>
      <c r="EO216" s="463"/>
      <c r="EP216" s="463"/>
      <c r="EQ216" s="463"/>
      <c r="ER216" s="463"/>
      <c r="ES216" s="463"/>
      <c r="ET216" s="463"/>
      <c r="EU216" s="463"/>
      <c r="EV216" s="463"/>
      <c r="EW216" s="463"/>
      <c r="EX216" s="463"/>
      <c r="EY216" s="463"/>
      <c r="EZ216" s="463"/>
      <c r="FA216" s="463"/>
      <c r="FB216" s="463"/>
      <c r="FC216" s="463"/>
      <c r="FD216" s="463"/>
      <c r="FE216" s="463"/>
      <c r="FF216" s="463"/>
      <c r="FG216" s="463"/>
      <c r="FH216" s="463"/>
      <c r="FI216" s="463"/>
      <c r="FJ216" s="463"/>
      <c r="FK216" s="463"/>
      <c r="FL216" s="463"/>
      <c r="FM216" s="463"/>
      <c r="FN216" s="463"/>
      <c r="FO216" s="463"/>
      <c r="FP216" s="463"/>
      <c r="FQ216" s="463"/>
      <c r="FR216" s="463"/>
      <c r="FS216" s="463"/>
      <c r="FT216" s="463"/>
      <c r="FU216" s="463"/>
      <c r="FV216" s="463"/>
      <c r="FW216" s="463"/>
      <c r="FX216" s="463"/>
      <c r="FY216" s="463"/>
      <c r="FZ216" s="463"/>
      <c r="GA216" s="463"/>
      <c r="GB216" s="463"/>
      <c r="GC216" s="463"/>
      <c r="GD216" s="463"/>
      <c r="GE216" s="463"/>
      <c r="GF216" s="463"/>
      <c r="GG216" s="463"/>
      <c r="GH216" s="463"/>
      <c r="GI216" s="463"/>
      <c r="GJ216" s="463"/>
      <c r="GK216" s="463"/>
      <c r="GL216" s="463"/>
      <c r="GM216" s="463"/>
      <c r="GN216" s="463"/>
      <c r="GO216" s="463"/>
      <c r="GP216" s="463"/>
      <c r="GQ216" s="463"/>
      <c r="GR216" s="463"/>
      <c r="GS216" s="463"/>
      <c r="GT216" s="463"/>
      <c r="GU216" s="463"/>
      <c r="GV216" s="463"/>
      <c r="GW216" s="463"/>
      <c r="GX216" s="463"/>
      <c r="GY216" s="463"/>
      <c r="GZ216" s="463"/>
      <c r="HA216" s="463"/>
    </row>
    <row r="217" spans="110:209" s="435" customFormat="1" ht="13.5" customHeight="1" hidden="1">
      <c r="DF217" s="378"/>
      <c r="DG217" s="378"/>
      <c r="DH217" s="378"/>
      <c r="DI217" s="378"/>
      <c r="DJ217" s="378"/>
      <c r="DK217" s="378"/>
      <c r="DL217" s="378"/>
      <c r="DM217" s="378"/>
      <c r="DN217" s="378"/>
      <c r="DO217" s="463"/>
      <c r="DP217" s="463"/>
      <c r="DQ217" s="463"/>
      <c r="DR217" s="463"/>
      <c r="DS217" s="463"/>
      <c r="DT217" s="463"/>
      <c r="DU217" s="463"/>
      <c r="DV217" s="463"/>
      <c r="DW217" s="463"/>
      <c r="DX217" s="463"/>
      <c r="DY217" s="463"/>
      <c r="DZ217" s="463"/>
      <c r="EA217" s="463"/>
      <c r="EB217" s="463"/>
      <c r="EC217" s="463"/>
      <c r="ED217" s="463"/>
      <c r="EE217" s="463"/>
      <c r="EF217" s="463"/>
      <c r="EG217" s="463"/>
      <c r="EH217" s="463"/>
      <c r="EI217" s="463"/>
      <c r="EJ217" s="463"/>
      <c r="EK217" s="463"/>
      <c r="EL217" s="463"/>
      <c r="EM217" s="463"/>
      <c r="EN217" s="463"/>
      <c r="EO217" s="463"/>
      <c r="EP217" s="463"/>
      <c r="EQ217" s="463"/>
      <c r="ER217" s="463"/>
      <c r="ES217" s="463"/>
      <c r="ET217" s="463"/>
      <c r="EU217" s="463"/>
      <c r="EV217" s="463"/>
      <c r="EW217" s="463"/>
      <c r="EX217" s="463"/>
      <c r="EY217" s="463"/>
      <c r="EZ217" s="463"/>
      <c r="FA217" s="463"/>
      <c r="FB217" s="463"/>
      <c r="FC217" s="463"/>
      <c r="FD217" s="463"/>
      <c r="FE217" s="463"/>
      <c r="FF217" s="463"/>
      <c r="FG217" s="463"/>
      <c r="FH217" s="463"/>
      <c r="FI217" s="463"/>
      <c r="FJ217" s="463"/>
      <c r="FK217" s="463"/>
      <c r="FL217" s="463"/>
      <c r="FM217" s="463"/>
      <c r="FN217" s="463"/>
      <c r="FO217" s="463"/>
      <c r="FP217" s="463"/>
      <c r="FQ217" s="463"/>
      <c r="FR217" s="463"/>
      <c r="FS217" s="463"/>
      <c r="FT217" s="463"/>
      <c r="FU217" s="463"/>
      <c r="FV217" s="463"/>
      <c r="FW217" s="463"/>
      <c r="FX217" s="463"/>
      <c r="FY217" s="463"/>
      <c r="FZ217" s="463"/>
      <c r="GA217" s="463"/>
      <c r="GB217" s="463"/>
      <c r="GC217" s="463"/>
      <c r="GD217" s="463"/>
      <c r="GE217" s="463"/>
      <c r="GF217" s="463"/>
      <c r="GG217" s="463"/>
      <c r="GH217" s="463"/>
      <c r="GI217" s="463"/>
      <c r="GJ217" s="463"/>
      <c r="GK217" s="463"/>
      <c r="GL217" s="463"/>
      <c r="GM217" s="463"/>
      <c r="GN217" s="463"/>
      <c r="GO217" s="463"/>
      <c r="GP217" s="463"/>
      <c r="GQ217" s="463"/>
      <c r="GR217" s="463"/>
      <c r="GS217" s="463"/>
      <c r="GT217" s="463"/>
      <c r="GU217" s="463"/>
      <c r="GV217" s="463"/>
      <c r="GW217" s="463"/>
      <c r="GX217" s="463"/>
      <c r="GY217" s="463"/>
      <c r="GZ217" s="463"/>
      <c r="HA217" s="463"/>
    </row>
    <row r="218" s="435" customFormat="1" ht="13.5" customHeight="1" hidden="1"/>
    <row r="219" s="435" customFormat="1" ht="13.5" customHeight="1" hidden="1"/>
    <row r="220" s="435" customFormat="1" ht="13.5" customHeight="1" hidden="1"/>
    <row r="221" s="435" customFormat="1" ht="13.5" customHeight="1" hidden="1"/>
    <row r="222" spans="7:108" s="714" customFormat="1" ht="23.25" customHeight="1" hidden="1">
      <c r="G222" s="714">
        <v>1</v>
      </c>
      <c r="H222" s="714">
        <v>2</v>
      </c>
      <c r="I222" s="714">
        <v>3</v>
      </c>
      <c r="J222" s="714">
        <v>4</v>
      </c>
      <c r="K222" s="714">
        <v>5</v>
      </c>
      <c r="L222" s="714">
        <v>6</v>
      </c>
      <c r="M222" s="714">
        <v>7</v>
      </c>
      <c r="Q222" s="714">
        <v>8</v>
      </c>
      <c r="R222" s="714">
        <v>9</v>
      </c>
      <c r="S222" s="714">
        <v>10</v>
      </c>
      <c r="T222" s="714">
        <v>11</v>
      </c>
      <c r="U222" s="714">
        <v>12</v>
      </c>
      <c r="V222" s="714">
        <v>13</v>
      </c>
      <c r="W222" s="714">
        <v>14</v>
      </c>
      <c r="X222" s="714">
        <v>15</v>
      </c>
      <c r="Y222" s="714">
        <v>16</v>
      </c>
      <c r="Z222" s="714">
        <v>17</v>
      </c>
      <c r="AA222" s="714">
        <v>18</v>
      </c>
      <c r="AB222" s="714">
        <v>19</v>
      </c>
      <c r="AC222" s="714">
        <v>20</v>
      </c>
      <c r="AD222" s="714">
        <v>21</v>
      </c>
      <c r="AE222" s="714">
        <v>22</v>
      </c>
      <c r="AF222" s="714">
        <v>23</v>
      </c>
      <c r="AG222" s="714">
        <v>24</v>
      </c>
      <c r="AH222" s="714">
        <v>25</v>
      </c>
      <c r="AI222" s="714">
        <v>26</v>
      </c>
      <c r="AJ222" s="714">
        <v>27</v>
      </c>
      <c r="AK222" s="714">
        <v>28</v>
      </c>
      <c r="AL222" s="714">
        <v>29</v>
      </c>
      <c r="AM222" s="714">
        <v>30</v>
      </c>
      <c r="AN222" s="714">
        <v>31</v>
      </c>
      <c r="AO222" s="714">
        <v>32</v>
      </c>
      <c r="AP222" s="714">
        <v>33</v>
      </c>
      <c r="AQ222" s="714">
        <v>34</v>
      </c>
      <c r="AR222" s="714">
        <v>35</v>
      </c>
      <c r="AS222" s="714">
        <v>36</v>
      </c>
      <c r="AT222" s="714">
        <v>37</v>
      </c>
      <c r="AU222" s="714">
        <v>38</v>
      </c>
      <c r="AV222" s="714">
        <v>39</v>
      </c>
      <c r="AW222" s="714">
        <v>40</v>
      </c>
      <c r="AX222" s="714">
        <v>41</v>
      </c>
      <c r="AY222" s="714">
        <v>42</v>
      </c>
      <c r="AZ222" s="714">
        <v>43</v>
      </c>
      <c r="BA222" s="714">
        <v>44</v>
      </c>
      <c r="BB222" s="714">
        <v>45</v>
      </c>
      <c r="BC222" s="714">
        <v>46</v>
      </c>
      <c r="BD222" s="714">
        <v>47</v>
      </c>
      <c r="BE222" s="714">
        <v>48</v>
      </c>
      <c r="BF222" s="714">
        <v>49</v>
      </c>
      <c r="BG222" s="714">
        <v>50</v>
      </c>
      <c r="BH222" s="714">
        <v>51</v>
      </c>
      <c r="BI222" s="714">
        <v>52</v>
      </c>
      <c r="BJ222" s="714">
        <v>53</v>
      </c>
      <c r="BK222" s="714">
        <v>54</v>
      </c>
      <c r="BL222" s="714">
        <v>55</v>
      </c>
      <c r="BM222" s="714">
        <v>56</v>
      </c>
      <c r="BN222" s="714">
        <v>57</v>
      </c>
      <c r="BO222" s="714">
        <v>58</v>
      </c>
      <c r="BP222" s="714">
        <v>59</v>
      </c>
      <c r="BQ222" s="714">
        <v>60</v>
      </c>
      <c r="BR222" s="714">
        <v>61</v>
      </c>
      <c r="BS222" s="714">
        <v>62</v>
      </c>
      <c r="BT222" s="714">
        <v>63</v>
      </c>
      <c r="BU222" s="714">
        <v>64</v>
      </c>
      <c r="BV222" s="714">
        <v>65</v>
      </c>
      <c r="BW222" s="714">
        <v>66</v>
      </c>
      <c r="BX222" s="714">
        <v>67</v>
      </c>
      <c r="BY222" s="714">
        <v>68</v>
      </c>
      <c r="BZ222" s="714">
        <v>69</v>
      </c>
      <c r="CA222" s="714">
        <v>70</v>
      </c>
      <c r="CB222" s="714">
        <v>71</v>
      </c>
      <c r="CC222" s="714">
        <v>72</v>
      </c>
      <c r="CD222" s="714">
        <v>73</v>
      </c>
      <c r="CE222" s="714">
        <v>74</v>
      </c>
      <c r="CF222" s="714">
        <v>75</v>
      </c>
      <c r="CG222" s="714">
        <v>76</v>
      </c>
      <c r="CH222" s="714">
        <v>77</v>
      </c>
      <c r="CI222" s="714">
        <v>78</v>
      </c>
      <c r="CJ222" s="714">
        <v>79</v>
      </c>
      <c r="CK222" s="714">
        <v>80</v>
      </c>
      <c r="CL222" s="714">
        <v>81</v>
      </c>
      <c r="CM222" s="714">
        <v>82</v>
      </c>
      <c r="CN222" s="714">
        <v>83</v>
      </c>
      <c r="CO222" s="714">
        <v>84</v>
      </c>
      <c r="CP222" s="714">
        <v>85</v>
      </c>
      <c r="CQ222" s="714">
        <v>86</v>
      </c>
      <c r="CR222" s="714">
        <v>87</v>
      </c>
      <c r="CS222" s="714">
        <v>88</v>
      </c>
      <c r="CT222" s="714">
        <v>89</v>
      </c>
      <c r="CU222" s="714">
        <v>90</v>
      </c>
      <c r="CV222" s="714">
        <v>91</v>
      </c>
      <c r="CW222" s="714">
        <v>92</v>
      </c>
      <c r="CX222" s="714">
        <v>93</v>
      </c>
      <c r="CY222" s="714">
        <v>94</v>
      </c>
      <c r="CZ222" s="714">
        <v>95</v>
      </c>
      <c r="DA222" s="714">
        <v>96</v>
      </c>
      <c r="DB222" s="714">
        <v>97</v>
      </c>
      <c r="DC222" s="714">
        <v>98</v>
      </c>
      <c r="DD222" s="714">
        <v>99</v>
      </c>
    </row>
    <row r="223" spans="7:108" s="714" customFormat="1" ht="23.25" customHeight="1" hidden="1">
      <c r="G223" s="714" t="s">
        <v>561</v>
      </c>
      <c r="H223" s="714" t="s">
        <v>562</v>
      </c>
      <c r="I223" s="714" t="s">
        <v>563</v>
      </c>
      <c r="J223" s="714" t="s">
        <v>564</v>
      </c>
      <c r="K223" s="714" t="s">
        <v>565</v>
      </c>
      <c r="L223" s="714" t="s">
        <v>566</v>
      </c>
      <c r="M223" s="714" t="s">
        <v>567</v>
      </c>
      <c r="Q223" s="714" t="s">
        <v>568</v>
      </c>
      <c r="R223" s="714" t="s">
        <v>569</v>
      </c>
      <c r="S223" s="714" t="s">
        <v>570</v>
      </c>
      <c r="T223" s="714" t="s">
        <v>571</v>
      </c>
      <c r="U223" s="714" t="s">
        <v>572</v>
      </c>
      <c r="V223" s="714" t="s">
        <v>573</v>
      </c>
      <c r="W223" s="714" t="s">
        <v>574</v>
      </c>
      <c r="X223" s="714" t="s">
        <v>575</v>
      </c>
      <c r="Y223" s="714" t="s">
        <v>576</v>
      </c>
      <c r="Z223" s="714" t="s">
        <v>577</v>
      </c>
      <c r="AA223" s="714" t="s">
        <v>578</v>
      </c>
      <c r="AB223" s="714" t="s">
        <v>579</v>
      </c>
      <c r="AC223" s="714" t="s">
        <v>580</v>
      </c>
      <c r="AD223" s="714" t="s">
        <v>581</v>
      </c>
      <c r="AE223" s="714" t="s">
        <v>582</v>
      </c>
      <c r="AF223" s="714" t="s">
        <v>583</v>
      </c>
      <c r="AG223" s="714" t="s">
        <v>584</v>
      </c>
      <c r="AH223" s="714" t="s">
        <v>585</v>
      </c>
      <c r="AI223" s="714" t="s">
        <v>586</v>
      </c>
      <c r="AJ223" s="714" t="s">
        <v>587</v>
      </c>
      <c r="AK223" s="714" t="s">
        <v>588</v>
      </c>
      <c r="AL223" s="714" t="s">
        <v>589</v>
      </c>
      <c r="AM223" s="714" t="s">
        <v>590</v>
      </c>
      <c r="AN223" s="714" t="s">
        <v>591</v>
      </c>
      <c r="AO223" s="714" t="s">
        <v>592</v>
      </c>
      <c r="AP223" s="714" t="s">
        <v>593</v>
      </c>
      <c r="AQ223" s="714" t="s">
        <v>594</v>
      </c>
      <c r="AR223" s="714" t="s">
        <v>595</v>
      </c>
      <c r="AS223" s="714" t="s">
        <v>596</v>
      </c>
      <c r="AT223" s="714" t="s">
        <v>597</v>
      </c>
      <c r="AU223" s="714" t="s">
        <v>598</v>
      </c>
      <c r="AV223" s="714" t="s">
        <v>599</v>
      </c>
      <c r="AW223" s="714" t="s">
        <v>600</v>
      </c>
      <c r="AX223" s="714" t="s">
        <v>601</v>
      </c>
      <c r="AY223" s="714" t="s">
        <v>602</v>
      </c>
      <c r="AZ223" s="714" t="s">
        <v>603</v>
      </c>
      <c r="BA223" s="714" t="s">
        <v>604</v>
      </c>
      <c r="BB223" s="714" t="s">
        <v>605</v>
      </c>
      <c r="BC223" s="714" t="s">
        <v>606</v>
      </c>
      <c r="BD223" s="714" t="s">
        <v>607</v>
      </c>
      <c r="BE223" s="714" t="s">
        <v>608</v>
      </c>
      <c r="BF223" s="714" t="s">
        <v>609</v>
      </c>
      <c r="BG223" s="714" t="s">
        <v>610</v>
      </c>
      <c r="BH223" s="714" t="s">
        <v>611</v>
      </c>
      <c r="BI223" s="714" t="s">
        <v>612</v>
      </c>
      <c r="BJ223" s="714" t="s">
        <v>613</v>
      </c>
      <c r="BK223" s="714" t="s">
        <v>614</v>
      </c>
      <c r="BL223" s="714" t="s">
        <v>615</v>
      </c>
      <c r="BM223" s="714" t="s">
        <v>616</v>
      </c>
      <c r="BN223" s="714" t="s">
        <v>617</v>
      </c>
      <c r="BO223" s="714" t="s">
        <v>618</v>
      </c>
      <c r="BP223" s="714" t="s">
        <v>619</v>
      </c>
      <c r="BQ223" s="714" t="s">
        <v>620</v>
      </c>
      <c r="BR223" s="714" t="s">
        <v>621</v>
      </c>
      <c r="BS223" s="714" t="s">
        <v>622</v>
      </c>
      <c r="BT223" s="714" t="s">
        <v>623</v>
      </c>
      <c r="BU223" s="714" t="s">
        <v>624</v>
      </c>
      <c r="BV223" s="714" t="s">
        <v>625</v>
      </c>
      <c r="BW223" s="714" t="s">
        <v>626</v>
      </c>
      <c r="BX223" s="714" t="s">
        <v>627</v>
      </c>
      <c r="BY223" s="714" t="s">
        <v>628</v>
      </c>
      <c r="BZ223" s="714" t="s">
        <v>629</v>
      </c>
      <c r="CA223" s="714" t="s">
        <v>630</v>
      </c>
      <c r="CB223" s="714" t="s">
        <v>631</v>
      </c>
      <c r="CC223" s="714" t="s">
        <v>632</v>
      </c>
      <c r="CD223" s="714" t="s">
        <v>633</v>
      </c>
      <c r="CE223" s="714" t="s">
        <v>634</v>
      </c>
      <c r="CF223" s="714" t="s">
        <v>635</v>
      </c>
      <c r="CG223" s="714" t="s">
        <v>636</v>
      </c>
      <c r="CH223" s="714" t="s">
        <v>637</v>
      </c>
      <c r="CI223" s="714" t="s">
        <v>638</v>
      </c>
      <c r="CJ223" s="714" t="s">
        <v>639</v>
      </c>
      <c r="CK223" s="714" t="s">
        <v>640</v>
      </c>
      <c r="CL223" s="714" t="s">
        <v>641</v>
      </c>
      <c r="CM223" s="714" t="s">
        <v>642</v>
      </c>
      <c r="CN223" s="714" t="s">
        <v>643</v>
      </c>
      <c r="CO223" s="714" t="s">
        <v>644</v>
      </c>
      <c r="CP223" s="714" t="s">
        <v>645</v>
      </c>
      <c r="CQ223" s="714" t="s">
        <v>646</v>
      </c>
      <c r="CR223" s="714" t="s">
        <v>647</v>
      </c>
      <c r="CS223" s="714" t="s">
        <v>648</v>
      </c>
      <c r="CT223" s="714" t="s">
        <v>649</v>
      </c>
      <c r="CU223" s="714" t="s">
        <v>650</v>
      </c>
      <c r="CV223" s="714" t="s">
        <v>651</v>
      </c>
      <c r="CW223" s="714" t="s">
        <v>652</v>
      </c>
      <c r="CX223" s="714" t="s">
        <v>653</v>
      </c>
      <c r="CY223" s="714" t="s">
        <v>654</v>
      </c>
      <c r="CZ223" s="714" t="s">
        <v>655</v>
      </c>
      <c r="DA223" s="714" t="s">
        <v>656</v>
      </c>
      <c r="DB223" s="714" t="s">
        <v>657</v>
      </c>
      <c r="DC223" s="714" t="s">
        <v>658</v>
      </c>
      <c r="DD223" s="714" t="s">
        <v>659</v>
      </c>
    </row>
    <row r="224" s="714" customFormat="1" ht="23.25" customHeight="1" hidden="1"/>
    <row r="225" s="714" customFormat="1" ht="23.25" customHeight="1" hidden="1"/>
    <row r="226" spans="18:19" s="714" customFormat="1" ht="23.25" customHeight="1" hidden="1">
      <c r="R226" s="715"/>
      <c r="S226" s="715"/>
    </row>
    <row r="227" spans="5:23" s="714" customFormat="1" ht="12" customHeight="1" hidden="1">
      <c r="E227" s="716"/>
      <c r="V227" s="717"/>
      <c r="W227" s="717"/>
    </row>
    <row r="228" spans="5:23" s="714" customFormat="1" ht="17.25" customHeight="1" hidden="1">
      <c r="E228" s="716"/>
      <c r="V228" s="718"/>
      <c r="W228" s="718"/>
    </row>
    <row r="229" spans="5:23" s="714" customFormat="1" ht="17.25" customHeight="1" hidden="1">
      <c r="E229" s="716"/>
      <c r="V229" s="717"/>
      <c r="W229" s="719"/>
    </row>
    <row r="230" s="714" customFormat="1" ht="29.25" customHeight="1" hidden="1">
      <c r="E230" s="716"/>
    </row>
    <row r="231" s="714" customFormat="1" ht="15" customHeight="1" hidden="1"/>
    <row r="232" s="714" customFormat="1" ht="15" customHeight="1" hidden="1"/>
    <row r="233" s="714" customFormat="1" ht="15" customHeight="1" hidden="1"/>
    <row r="234" s="714" customFormat="1" ht="15" customHeight="1" hidden="1"/>
    <row r="235" spans="5:6" s="714" customFormat="1" ht="27.75" customHeight="1" hidden="1">
      <c r="E235" s="720" t="s">
        <v>660</v>
      </c>
      <c r="F235" s="720" t="s">
        <v>661</v>
      </c>
    </row>
    <row r="236" spans="5:21" s="714" customFormat="1" ht="34.5" customHeight="1" hidden="1">
      <c r="E236" s="721">
        <f>M22</f>
        <v>78309</v>
      </c>
      <c r="F236" s="722">
        <f aca="true" t="shared" si="1" ref="F236:F238">IF(E236="","",CONCATENATE("(",U236," rupees only)"))</f>
        <v>0</v>
      </c>
      <c r="G236" s="714">
        <f aca="true" t="shared" si="2" ref="G236:G238">INT(E236/100000)</f>
        <v>0</v>
      </c>
      <c r="H236" s="714">
        <f aca="true" t="shared" si="3" ref="H236:H238">INT(E236/1000-G236*100)</f>
        <v>78</v>
      </c>
      <c r="I236" s="714">
        <f aca="true" t="shared" si="4" ref="I236:I238">INT(E236/100-G236*1000-H236*10)</f>
        <v>3</v>
      </c>
      <c r="J236" s="714">
        <f aca="true" t="shared" si="5" ref="J236:J238">INT(E236-G236*100000-H236*1000-I236*100)</f>
        <v>9</v>
      </c>
      <c r="K236" s="714">
        <f>IF(G236=0,"",HLOOKUP(G236,G222:DQ223,2,0))</f>
        <v>0</v>
      </c>
      <c r="L236" s="714">
        <f>IF(H236=0,"",HLOOKUP(H236,G222:DD223,2,0))</f>
        <v>0</v>
      </c>
      <c r="M236" s="714">
        <f>IF(I236=0,"",HLOOKUP(I236,G222:DD223,2,0))</f>
        <v>0</v>
      </c>
      <c r="N236" s="714">
        <f>IF(J236=0,"",HLOOKUP(J236,G222:DD223,2,0))</f>
        <v>0</v>
      </c>
      <c r="O236" s="714">
        <f aca="true" t="shared" si="6" ref="O236:O238">IF(AND(I236=0,J236=0),1,2)</f>
        <v>2</v>
      </c>
      <c r="P236" s="714">
        <f aca="true" t="shared" si="7" ref="P236:P238">IF(J236=0,3,4)</f>
        <v>4</v>
      </c>
      <c r="Q236" s="714">
        <f aca="true" t="shared" si="8" ref="Q236:Q238">IF(OR(O236=1,P236=3),5,6)</f>
        <v>6</v>
      </c>
      <c r="R236" s="714">
        <f aca="true" t="shared" si="9" ref="R236:R238">IF(G236&gt;1," Lakhs ",IF(G236&gt;0," Lakh ",""))</f>
        <v>0</v>
      </c>
      <c r="S236" s="714">
        <f aca="true" t="shared" si="10" ref="S236:S238">IF(H236&gt;0," Thousand ","")</f>
        <v>0</v>
      </c>
      <c r="T236" s="714">
        <f aca="true" t="shared" si="11" ref="T236:T238">IF(I236&gt;0," Hundred ","")</f>
        <v>0</v>
      </c>
      <c r="U236" s="723">
        <f aca="true" t="shared" si="12" ref="U236:U238">IF(E236=0,"Zero",IF(E236&gt;0,TRIM(CONCATENATE(K236,R236,L236,S236,M236,T236,IF(AND(E236&gt;100,Q236=6)," and ",""),N236)),""))</f>
        <v>0</v>
      </c>
    </row>
    <row r="237" spans="5:26" ht="13.5" customHeight="1" hidden="1">
      <c r="E237" s="318">
        <f>DATA!S20</f>
        <v>99600</v>
      </c>
      <c r="F237" s="722">
        <f t="shared" si="1"/>
        <v>0</v>
      </c>
      <c r="G237" s="714">
        <f t="shared" si="2"/>
        <v>0</v>
      </c>
      <c r="H237" s="714">
        <f t="shared" si="3"/>
        <v>99</v>
      </c>
      <c r="I237" s="714">
        <f t="shared" si="4"/>
        <v>6</v>
      </c>
      <c r="J237" s="714">
        <f t="shared" si="5"/>
        <v>0</v>
      </c>
      <c r="K237" s="714">
        <f>IF(G237=0,"",HLOOKUP(G237,G222:DQ223,2,0))</f>
        <v>0</v>
      </c>
      <c r="L237" s="714">
        <f>IF(H237=0,"",HLOOKUP(H237,G222:DD223,2,0))</f>
        <v>0</v>
      </c>
      <c r="M237" s="714">
        <f>IF(I237=0,"",HLOOKUP(I237,G222:DD223,2,0))</f>
        <v>0</v>
      </c>
      <c r="N237" s="714">
        <f>IF(J237=0,"",HLOOKUP(J237,G222:DD223,2,0))</f>
        <v>0</v>
      </c>
      <c r="O237" s="714">
        <f t="shared" si="6"/>
        <v>2</v>
      </c>
      <c r="P237" s="714">
        <f t="shared" si="7"/>
        <v>3</v>
      </c>
      <c r="Q237" s="714">
        <f t="shared" si="8"/>
        <v>5</v>
      </c>
      <c r="R237" s="714">
        <f t="shared" si="9"/>
        <v>0</v>
      </c>
      <c r="S237" s="714">
        <f t="shared" si="10"/>
        <v>0</v>
      </c>
      <c r="T237" s="714">
        <f t="shared" si="11"/>
        <v>0</v>
      </c>
      <c r="U237" s="723">
        <f t="shared" si="12"/>
        <v>0</v>
      </c>
      <c r="V237" s="714"/>
      <c r="W237" s="714"/>
      <c r="X237" s="714"/>
      <c r="Y237" s="714"/>
      <c r="Z237" s="714"/>
    </row>
    <row r="238" spans="6:26" ht="13.5" customHeight="1" hidden="1">
      <c r="F238" s="722">
        <f t="shared" si="1"/>
        <v>0</v>
      </c>
      <c r="G238" s="714">
        <f t="shared" si="2"/>
        <v>0</v>
      </c>
      <c r="H238" s="714">
        <f t="shared" si="3"/>
        <v>0</v>
      </c>
      <c r="I238" s="714">
        <f t="shared" si="4"/>
        <v>0</v>
      </c>
      <c r="J238" s="714">
        <f t="shared" si="5"/>
        <v>0</v>
      </c>
      <c r="K238" s="714">
        <f>IF(G238=0,"",HLOOKUP(G238,G224:DQ225,2,0))</f>
        <v>0</v>
      </c>
      <c r="L238" s="714">
        <f>IF(H238=0,"",HLOOKUP(H238,G224:DD225,2,0))</f>
        <v>0</v>
      </c>
      <c r="M238" s="714">
        <f>IF(I238=0,"",HLOOKUP(I238,G224:DD225,2,0))</f>
        <v>0</v>
      </c>
      <c r="N238" s="714">
        <f>IF(J238=0,"",HLOOKUP(J238,G224:DD225,2,0))</f>
        <v>0</v>
      </c>
      <c r="O238" s="714">
        <f t="shared" si="6"/>
        <v>1</v>
      </c>
      <c r="P238" s="714">
        <f t="shared" si="7"/>
        <v>3</v>
      </c>
      <c r="Q238" s="714">
        <f t="shared" si="8"/>
        <v>5</v>
      </c>
      <c r="R238" s="714">
        <f t="shared" si="9"/>
        <v>0</v>
      </c>
      <c r="S238" s="714">
        <f t="shared" si="10"/>
        <v>0</v>
      </c>
      <c r="T238" s="714">
        <f t="shared" si="11"/>
        <v>0</v>
      </c>
      <c r="U238" s="723">
        <f t="shared" si="12"/>
        <v>0</v>
      </c>
      <c r="V238" s="714"/>
      <c r="W238" s="714"/>
      <c r="X238" s="714"/>
      <c r="Y238" s="714"/>
      <c r="Z238" s="714"/>
    </row>
  </sheetData>
  <sheetProtection password="F3B7" sheet="1" scenarios="1" selectLockedCells="1"/>
  <mergeCells count="64">
    <mergeCell ref="C2:G2"/>
    <mergeCell ref="H2:I2"/>
    <mergeCell ref="C3:G3"/>
    <mergeCell ref="H3:I3"/>
    <mergeCell ref="C4:G4"/>
    <mergeCell ref="C5:G5"/>
    <mergeCell ref="C6:G6"/>
    <mergeCell ref="C7:G7"/>
    <mergeCell ref="C8:G8"/>
    <mergeCell ref="C9:G9"/>
    <mergeCell ref="C10:G10"/>
    <mergeCell ref="C11:G11"/>
    <mergeCell ref="C13:I13"/>
    <mergeCell ref="C15:I15"/>
    <mergeCell ref="C16:I16"/>
    <mergeCell ref="C18:I18"/>
    <mergeCell ref="C19:I19"/>
    <mergeCell ref="C20:I20"/>
    <mergeCell ref="C21:I21"/>
    <mergeCell ref="C22:I22"/>
    <mergeCell ref="C23:I23"/>
    <mergeCell ref="D24:I24"/>
    <mergeCell ref="D25:I25"/>
    <mergeCell ref="C26:G26"/>
    <mergeCell ref="B29:M29"/>
    <mergeCell ref="B30:M30"/>
    <mergeCell ref="C32:D32"/>
    <mergeCell ref="H32:I32"/>
    <mergeCell ref="L32:M32"/>
    <mergeCell ref="C33:D33"/>
    <mergeCell ref="H33:I33"/>
    <mergeCell ref="L33:M33"/>
    <mergeCell ref="C34:D34"/>
    <mergeCell ref="H34:I34"/>
    <mergeCell ref="L34:M34"/>
    <mergeCell ref="C35:D35"/>
    <mergeCell ref="C36:D36"/>
    <mergeCell ref="C37:D37"/>
    <mergeCell ref="C38:D38"/>
    <mergeCell ref="C39:D39"/>
    <mergeCell ref="C40:D40"/>
    <mergeCell ref="H40:I40"/>
    <mergeCell ref="L40:M40"/>
    <mergeCell ref="C41:D41"/>
    <mergeCell ref="C42:D42"/>
    <mergeCell ref="H42:I42"/>
    <mergeCell ref="L42:M42"/>
    <mergeCell ref="C43:D43"/>
    <mergeCell ref="C44:D44"/>
    <mergeCell ref="C45:D45"/>
    <mergeCell ref="H45:I45"/>
    <mergeCell ref="L45:M45"/>
    <mergeCell ref="C46:D46"/>
    <mergeCell ref="H46:I46"/>
    <mergeCell ref="L46:M46"/>
    <mergeCell ref="H47:I47"/>
    <mergeCell ref="B48:M52"/>
    <mergeCell ref="B57:C57"/>
    <mergeCell ref="B58:C58"/>
    <mergeCell ref="D58:E58"/>
    <mergeCell ref="H58:K58"/>
    <mergeCell ref="H59:K59"/>
    <mergeCell ref="B62:M62"/>
    <mergeCell ref="R226:S226"/>
  </mergeCells>
  <printOptions horizontalCentered="1" verticalCentered="1"/>
  <pageMargins left="0.35" right="0.25972222222222224" top="0.5" bottom="0.75" header="0.5118055555555555" footer="0.5118055555555555"/>
  <pageSetup horizontalDpi="300" verticalDpi="300" orientation="portrait" paperSize="9" scale="90"/>
</worksheet>
</file>

<file path=xl/worksheets/sheet8.xml><?xml version="1.0" encoding="utf-8"?>
<worksheet xmlns="http://schemas.openxmlformats.org/spreadsheetml/2006/main" xmlns:r="http://schemas.openxmlformats.org/officeDocument/2006/relationships">
  <dimension ref="B1:Y34"/>
  <sheetViews>
    <sheetView showGridLines="0" showRowColHeaders="0" workbookViewId="0" topLeftCell="A1">
      <selection activeCell="E2" sqref="E2"/>
    </sheetView>
  </sheetViews>
  <sheetFormatPr defaultColWidth="1.1484375" defaultRowHeight="15"/>
  <cols>
    <col min="1" max="1" width="2.57421875" style="156" customWidth="1"/>
    <col min="2" max="3" width="11.8515625" style="156" customWidth="1"/>
    <col min="4" max="4" width="7.8515625" style="156" customWidth="1"/>
    <col min="5" max="10" width="9.7109375" style="156" customWidth="1"/>
    <col min="11" max="11" width="2.8515625" style="156" customWidth="1"/>
    <col min="12" max="16384" width="0" style="156" hidden="1" customWidth="1"/>
  </cols>
  <sheetData>
    <row r="1" spans="2:10" ht="30.75" customHeight="1">
      <c r="B1" s="724" t="s">
        <v>662</v>
      </c>
      <c r="C1" s="724"/>
      <c r="D1" s="724"/>
      <c r="E1" s="724"/>
      <c r="F1" s="724"/>
      <c r="G1" s="724"/>
      <c r="H1" s="724"/>
      <c r="I1" s="724"/>
      <c r="J1" s="724"/>
    </row>
    <row r="2" spans="2:10" ht="25.5" customHeight="1">
      <c r="B2" s="725" t="s">
        <v>663</v>
      </c>
      <c r="C2" s="725"/>
      <c r="D2" s="725"/>
      <c r="E2" s="726" t="s">
        <v>664</v>
      </c>
      <c r="F2" s="726"/>
      <c r="G2" s="726"/>
      <c r="H2" s="726"/>
      <c r="I2" s="726"/>
      <c r="J2" s="726"/>
    </row>
    <row r="3" spans="2:10" ht="25.5" customHeight="1">
      <c r="B3" s="725" t="s">
        <v>665</v>
      </c>
      <c r="C3" s="725"/>
      <c r="D3" s="725"/>
      <c r="E3" s="727" t="s">
        <v>666</v>
      </c>
      <c r="F3" s="727"/>
      <c r="G3" s="727"/>
      <c r="H3" s="727"/>
      <c r="I3" s="727"/>
      <c r="J3" s="727"/>
    </row>
    <row r="4" spans="2:14" ht="25.5" customHeight="1">
      <c r="B4" s="725" t="s">
        <v>667</v>
      </c>
      <c r="C4" s="725"/>
      <c r="D4" s="725"/>
      <c r="E4" s="728" t="s">
        <v>668</v>
      </c>
      <c r="F4" s="728"/>
      <c r="G4" s="728"/>
      <c r="H4" s="728"/>
      <c r="I4" s="728"/>
      <c r="J4" s="728"/>
      <c r="M4" s="156">
        <v>1</v>
      </c>
      <c r="N4" s="156">
        <f>IF(M4=1,N5,N6)</f>
        <v>0</v>
      </c>
    </row>
    <row r="5" spans="2:14" ht="25.5" customHeight="1">
      <c r="B5" s="725" t="s">
        <v>669</v>
      </c>
      <c r="C5" s="725"/>
      <c r="D5" s="725"/>
      <c r="E5" s="727" t="s">
        <v>670</v>
      </c>
      <c r="F5" s="727"/>
      <c r="G5" s="727"/>
      <c r="H5" s="727"/>
      <c r="I5" s="727"/>
      <c r="J5" s="727"/>
      <c r="M5" s="156" t="s">
        <v>671</v>
      </c>
      <c r="N5" s="156" t="s">
        <v>665</v>
      </c>
    </row>
    <row r="6" spans="2:14" ht="25.5" customHeight="1">
      <c r="B6" s="725" t="s">
        <v>672</v>
      </c>
      <c r="C6" s="725"/>
      <c r="D6" s="725"/>
      <c r="E6" s="727" t="s">
        <v>673</v>
      </c>
      <c r="F6" s="727"/>
      <c r="G6" s="727"/>
      <c r="H6" s="727"/>
      <c r="I6" s="727"/>
      <c r="J6" s="727"/>
      <c r="M6" s="156" t="s">
        <v>674</v>
      </c>
      <c r="N6" s="156" t="s">
        <v>675</v>
      </c>
    </row>
    <row r="7" spans="2:10" ht="25.5" customHeight="1">
      <c r="B7" s="725" t="s">
        <v>676</v>
      </c>
      <c r="C7" s="725"/>
      <c r="D7" s="725"/>
      <c r="E7" s="727" t="s">
        <v>677</v>
      </c>
      <c r="F7" s="727"/>
      <c r="G7" s="727"/>
      <c r="H7" s="727"/>
      <c r="I7" s="727"/>
      <c r="J7" s="727"/>
    </row>
    <row r="8" spans="2:10" ht="25.5" customHeight="1">
      <c r="B8" s="729">
        <f>IF(DATA!S20&gt;=100000,"House Owner PAN Number","")</f>
        <v>0</v>
      </c>
      <c r="C8" s="729"/>
      <c r="D8" s="729"/>
      <c r="E8" s="730" t="s">
        <v>678</v>
      </c>
      <c r="F8" s="730"/>
      <c r="G8" s="730"/>
      <c r="H8" s="730"/>
      <c r="I8" s="730"/>
      <c r="J8" s="730"/>
    </row>
    <row r="9" ht="15.75"/>
    <row r="10" spans="2:10" ht="15">
      <c r="B10" s="731"/>
      <c r="C10" s="147"/>
      <c r="D10" s="147"/>
      <c r="E10" s="147"/>
      <c r="F10" s="147"/>
      <c r="G10" s="147"/>
      <c r="H10" s="147"/>
      <c r="I10" s="147"/>
      <c r="J10" s="148"/>
    </row>
    <row r="11" spans="2:25" ht="22.5" customHeight="1">
      <c r="B11" s="732" t="s">
        <v>679</v>
      </c>
      <c r="C11" s="732"/>
      <c r="D11" s="732"/>
      <c r="E11" s="732"/>
      <c r="F11" s="732"/>
      <c r="G11" s="732"/>
      <c r="H11" s="732"/>
      <c r="I11" s="732"/>
      <c r="J11" s="732"/>
      <c r="K11" s="733"/>
      <c r="L11" s="733"/>
      <c r="M11" s="733"/>
      <c r="N11" s="733"/>
      <c r="O11" s="733"/>
      <c r="P11" s="733"/>
      <c r="Q11" s="733"/>
      <c r="R11" s="733"/>
      <c r="S11" s="733"/>
      <c r="T11" s="733"/>
      <c r="U11" s="733"/>
      <c r="V11" s="733"/>
      <c r="W11" s="733"/>
      <c r="X11" s="733"/>
      <c r="Y11" s="734"/>
    </row>
    <row r="12" spans="2:25" ht="19.5" customHeight="1">
      <c r="B12" s="735" t="s">
        <v>680</v>
      </c>
      <c r="C12" s="735"/>
      <c r="D12" s="735"/>
      <c r="E12" s="735"/>
      <c r="F12" s="735"/>
      <c r="G12" s="735"/>
      <c r="H12" s="735"/>
      <c r="I12" s="735"/>
      <c r="J12" s="735"/>
      <c r="K12" s="736"/>
      <c r="L12" s="736"/>
      <c r="M12" s="736"/>
      <c r="N12" s="736"/>
      <c r="O12" s="736"/>
      <c r="P12" s="736"/>
      <c r="Q12" s="736"/>
      <c r="R12" s="736"/>
      <c r="S12" s="736"/>
      <c r="T12" s="736"/>
      <c r="U12" s="736"/>
      <c r="V12" s="736"/>
      <c r="W12" s="736"/>
      <c r="X12" s="736"/>
      <c r="Y12" s="737"/>
    </row>
    <row r="13" spans="2:10" ht="15">
      <c r="B13" s="738"/>
      <c r="C13" s="739"/>
      <c r="D13" s="739"/>
      <c r="E13" s="739"/>
      <c r="F13" s="739"/>
      <c r="G13" s="739"/>
      <c r="H13" s="739"/>
      <c r="I13" s="739"/>
      <c r="J13" s="157"/>
    </row>
    <row r="14" spans="2:10" ht="105" customHeight="1">
      <c r="B14" s="740">
        <f>IF(DATA!M81=1,"",IF(DATA!S20&lt;100000,CONCATENATE("                This is to certify that ",DATA!AB25," ",DATA!D4,", ",DATA!L4,", ",DATA!C5,", Mandal ",DATA!L5," has paid an amount of Rs. ",DATA!S20,"/-Inwords: ",'Form 16 Page2'!F237," towards Annual (April,2015 to March,2016) House Rent @ Rs. ",DATA!P20,"/- per month in respect of H.No.",E4,", Located at ",E5," Mandal ",E6," District ",E7,"."),CONCATENATE("                This is to certify that ",DATA!AB25," ",DATA!D4,", ",DATA!L4,", ",DATA!C5,", Mandal ",DATA!L5," has paid an amount of Rs. ",DATA!S20,"/-Inwords: ",'Form 16 Page2'!F237," towards Annual (April,2015 to March, 2016) House Rent @ Rs. ",DATA!P20,"/- per month in respect of H.No.",E4,", Located at ",E5," Mandal ",E6," District ",E7,". My PAN card number is ",E8)))</f>
        <v>0</v>
      </c>
      <c r="C14" s="740"/>
      <c r="D14" s="740"/>
      <c r="E14" s="740"/>
      <c r="F14" s="740"/>
      <c r="G14" s="740"/>
      <c r="H14" s="740"/>
      <c r="I14" s="740"/>
      <c r="J14" s="740"/>
    </row>
    <row r="15" spans="2:10" ht="15">
      <c r="B15" s="738"/>
      <c r="C15" s="739"/>
      <c r="D15" s="739"/>
      <c r="E15" s="739"/>
      <c r="F15" s="739"/>
      <c r="G15" s="739"/>
      <c r="H15" s="739"/>
      <c r="I15" s="739"/>
      <c r="J15" s="157"/>
    </row>
    <row r="16" spans="2:10" ht="15">
      <c r="B16" s="738"/>
      <c r="C16" s="739"/>
      <c r="D16" s="739"/>
      <c r="E16" s="739"/>
      <c r="F16" s="739"/>
      <c r="G16" s="739"/>
      <c r="H16" s="739"/>
      <c r="I16" s="739"/>
      <c r="J16" s="157"/>
    </row>
    <row r="17" spans="2:10" ht="16.5" customHeight="1">
      <c r="B17" s="738"/>
      <c r="C17" s="739"/>
      <c r="D17" s="739"/>
      <c r="E17" s="739"/>
      <c r="F17" s="739"/>
      <c r="G17" s="739"/>
      <c r="H17" s="739"/>
      <c r="I17" s="739"/>
      <c r="J17" s="157"/>
    </row>
    <row r="18" spans="2:10" ht="16.5" customHeight="1">
      <c r="B18" s="738"/>
      <c r="C18" s="739"/>
      <c r="D18" s="739"/>
      <c r="E18" s="739"/>
      <c r="F18" s="739"/>
      <c r="G18" s="739"/>
      <c r="H18" s="741" t="s">
        <v>681</v>
      </c>
      <c r="I18" s="739"/>
      <c r="J18" s="157"/>
    </row>
    <row r="19" spans="2:10" ht="16.5" customHeight="1">
      <c r="B19" s="738"/>
      <c r="C19" s="739"/>
      <c r="D19" s="739"/>
      <c r="E19" s="739"/>
      <c r="F19" s="739"/>
      <c r="G19" s="739"/>
      <c r="H19" s="742" t="s">
        <v>682</v>
      </c>
      <c r="I19" s="739"/>
      <c r="J19" s="157"/>
    </row>
    <row r="20" spans="2:10" ht="15.75">
      <c r="B20" s="738"/>
      <c r="C20" s="739"/>
      <c r="D20" s="739"/>
      <c r="E20" s="739"/>
      <c r="F20" s="739"/>
      <c r="G20" s="739"/>
      <c r="H20" s="743" t="s">
        <v>683</v>
      </c>
      <c r="I20" s="739"/>
      <c r="J20" s="157"/>
    </row>
    <row r="21" spans="2:10" ht="15">
      <c r="B21" s="738"/>
      <c r="C21" s="739"/>
      <c r="D21" s="739"/>
      <c r="E21" s="739"/>
      <c r="F21" s="739"/>
      <c r="G21" s="739"/>
      <c r="H21" s="739"/>
      <c r="I21" s="739"/>
      <c r="J21" s="157"/>
    </row>
    <row r="22" spans="2:10" ht="15">
      <c r="B22" s="738"/>
      <c r="C22" s="739"/>
      <c r="D22" s="739"/>
      <c r="E22" s="739"/>
      <c r="F22" s="739"/>
      <c r="G22" s="739"/>
      <c r="H22" s="739"/>
      <c r="I22" s="739"/>
      <c r="J22" s="157"/>
    </row>
    <row r="23" spans="2:10" ht="15">
      <c r="B23" s="738" t="s">
        <v>684</v>
      </c>
      <c r="C23" s="739"/>
      <c r="D23" s="739"/>
      <c r="E23" s="739"/>
      <c r="F23" s="739"/>
      <c r="G23" s="739" t="s">
        <v>554</v>
      </c>
      <c r="H23" s="739"/>
      <c r="I23" s="739"/>
      <c r="J23" s="157"/>
    </row>
    <row r="24" spans="2:10" ht="15">
      <c r="B24" s="738"/>
      <c r="C24" s="739"/>
      <c r="D24" s="739"/>
      <c r="E24" s="739"/>
      <c r="F24" s="739"/>
      <c r="G24" s="739" t="s">
        <v>685</v>
      </c>
      <c r="H24" s="739"/>
      <c r="I24" s="739"/>
      <c r="J24" s="157"/>
    </row>
    <row r="25" spans="2:10" ht="15">
      <c r="B25" s="738"/>
      <c r="C25" s="739"/>
      <c r="D25" s="739"/>
      <c r="E25" s="739"/>
      <c r="F25" s="739"/>
      <c r="G25" s="739">
        <f>E2</f>
        <v>0</v>
      </c>
      <c r="H25" s="739"/>
      <c r="I25" s="739"/>
      <c r="J25" s="157"/>
    </row>
    <row r="26" spans="2:10" ht="15">
      <c r="B26" s="738"/>
      <c r="C26" s="739" t="s">
        <v>686</v>
      </c>
      <c r="D26" s="739"/>
      <c r="E26" s="739"/>
      <c r="F26" s="739"/>
      <c r="G26" s="739">
        <f>CONCATENATE(N4,". ",E3)</f>
        <v>0</v>
      </c>
      <c r="H26" s="739"/>
      <c r="I26" s="739"/>
      <c r="J26" s="157"/>
    </row>
    <row r="27" spans="2:10" ht="15">
      <c r="B27" s="738"/>
      <c r="C27" s="739"/>
      <c r="D27" s="739"/>
      <c r="E27" s="739"/>
      <c r="F27" s="739"/>
      <c r="G27" s="739" t="s">
        <v>687</v>
      </c>
      <c r="H27" s="744">
        <f>E4</f>
        <v>0</v>
      </c>
      <c r="I27" s="739"/>
      <c r="J27" s="157"/>
    </row>
    <row r="28" spans="2:10" ht="15">
      <c r="B28" s="738"/>
      <c r="C28" s="739"/>
      <c r="D28" s="739"/>
      <c r="E28" s="739"/>
      <c r="F28" s="739"/>
      <c r="G28" s="739"/>
      <c r="H28" s="739"/>
      <c r="I28" s="739"/>
      <c r="J28" s="157"/>
    </row>
    <row r="29" spans="2:10" ht="15">
      <c r="B29" s="738"/>
      <c r="C29" s="739"/>
      <c r="D29" s="739"/>
      <c r="E29" s="739"/>
      <c r="F29" s="739"/>
      <c r="G29" s="739"/>
      <c r="H29" s="739"/>
      <c r="I29" s="739"/>
      <c r="J29" s="157"/>
    </row>
    <row r="30" spans="2:10" ht="15">
      <c r="B30" s="738"/>
      <c r="C30" s="739">
        <f>DATA!D4</f>
        <v>0</v>
      </c>
      <c r="D30" s="739"/>
      <c r="E30" s="739"/>
      <c r="F30" s="739"/>
      <c r="G30" s="739"/>
      <c r="H30" s="739"/>
      <c r="I30" s="739"/>
      <c r="J30" s="157"/>
    </row>
    <row r="31" spans="2:10" ht="15">
      <c r="B31" s="738"/>
      <c r="C31" s="739"/>
      <c r="D31" s="739">
        <f>DATA!L4</f>
        <v>0</v>
      </c>
      <c r="E31" s="739"/>
      <c r="F31" s="739"/>
      <c r="G31" s="739"/>
      <c r="H31" s="739"/>
      <c r="I31" s="739"/>
      <c r="J31" s="157"/>
    </row>
    <row r="32" spans="2:10" ht="15">
      <c r="B32" s="738"/>
      <c r="C32" s="739">
        <f>DATA!C5</f>
        <v>0</v>
      </c>
      <c r="D32" s="739"/>
      <c r="E32" s="739"/>
      <c r="F32" s="739"/>
      <c r="G32" s="739"/>
      <c r="H32" s="739"/>
      <c r="I32" s="739"/>
      <c r="J32" s="157"/>
    </row>
    <row r="33" spans="2:10" ht="15">
      <c r="B33" s="738"/>
      <c r="C33" s="739"/>
      <c r="D33" s="739"/>
      <c r="E33" s="739"/>
      <c r="F33" s="739"/>
      <c r="G33" s="739"/>
      <c r="H33" s="739"/>
      <c r="I33" s="739"/>
      <c r="J33" s="157"/>
    </row>
    <row r="34" spans="2:10" ht="15.75">
      <c r="B34" s="745"/>
      <c r="C34" s="168"/>
      <c r="D34" s="168"/>
      <c r="E34" s="168"/>
      <c r="F34" s="168"/>
      <c r="G34" s="168"/>
      <c r="H34" s="168"/>
      <c r="I34" s="168"/>
      <c r="J34" s="169"/>
    </row>
    <row r="65536" ht="15" hidden="1"/>
  </sheetData>
  <sheetProtection password="F3B7" sheet="1" scenarios="1" selectLockedCells="1"/>
  <mergeCells count="18">
    <mergeCell ref="B1:J1"/>
    <mergeCell ref="B2:D2"/>
    <mergeCell ref="E2:J2"/>
    <mergeCell ref="B3:D3"/>
    <mergeCell ref="E3:J3"/>
    <mergeCell ref="B4:D4"/>
    <mergeCell ref="E4:J4"/>
    <mergeCell ref="B5:D5"/>
    <mergeCell ref="E5:J5"/>
    <mergeCell ref="B6:D6"/>
    <mergeCell ref="E6:J6"/>
    <mergeCell ref="B7:D7"/>
    <mergeCell ref="E7:J7"/>
    <mergeCell ref="B8:D8"/>
    <mergeCell ref="E8:J8"/>
    <mergeCell ref="B11:J11"/>
    <mergeCell ref="B12:J12"/>
    <mergeCell ref="B14:J14"/>
  </mergeCells>
  <printOptions horizontalCentered="1"/>
  <pageMargins left="0.4097222222222222" right="0.31527777777777777" top="0.8597222222222223" bottom="0.3541666666666667" header="0.5118055555555555" footer="0.5118055555555555"/>
  <pageSetup horizontalDpi="300" verticalDpi="300"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MEO DMK</dc:creator>
  <cp:keywords/>
  <dc:description/>
  <cp:lastModifiedBy>Putta</cp:lastModifiedBy>
  <cp:lastPrinted>2016-02-16T04:11:05Z</cp:lastPrinted>
  <dcterms:created xsi:type="dcterms:W3CDTF">2001-12-31T19:03:00Z</dcterms:created>
  <dcterms:modified xsi:type="dcterms:W3CDTF">2016-02-23T10:46:05Z</dcterms:modified>
  <cp:category/>
  <cp:version/>
  <cp:contentType/>
  <cp:contentStatus/>
</cp:coreProperties>
</file>